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RANADA\"/>
    </mc:Choice>
  </mc:AlternateContent>
  <workbookProtection workbookAlgorithmName="SHA-512" workbookHashValue="2vc9qeZcIk+8zhUFDhP3B66yW63U/Ei4o5Ls/aXKNDgL3SGrC0GBYDRx0WsGcccW5XLr9aTvzMo+ngs0/VxmFg==" workbookSaltValue="Nl/BrldP6N2e9RkJOREPi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C19" i="8"/>
  <c r="AL16" i="11"/>
  <c r="C16" i="6"/>
  <c r="AB13" i="21"/>
  <c r="R8" i="9"/>
  <c r="X12" i="21" s="1"/>
  <c r="T9" i="11"/>
  <c r="BH11" i="16"/>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J17" i="11"/>
  <c r="BH15" i="16"/>
  <c r="AP16" i="20"/>
  <c r="BH9" i="16"/>
  <c r="V15" i="11"/>
  <c r="BH15" i="11"/>
  <c r="Q17" i="20"/>
  <c r="Q18" i="20" s="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BL9" i="11"/>
  <c r="BF11" i="11"/>
  <c r="BF17" i="11"/>
  <c r="S17" i="16"/>
  <c r="V17" i="16"/>
  <c r="BK15" i="11"/>
  <c r="AZ17" i="11"/>
  <c r="Q10" i="2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BF16" i="11"/>
  <c r="BL12" i="11"/>
  <c r="V12" i="21"/>
  <c r="BI10" i="11"/>
  <c r="V9" i="11"/>
  <c r="R10" i="21"/>
  <c r="R13" i="21" s="1"/>
  <c r="R19" i="21" s="1"/>
  <c r="BG9" i="11"/>
  <c r="T17" i="16"/>
  <c r="BW17" i="20"/>
  <c r="BW15" i="20"/>
  <c r="BV10" i="16"/>
  <c r="AZ11" i="11"/>
  <c r="BF12" i="11"/>
  <c r="BL10" i="11"/>
  <c r="BG16" i="11"/>
  <c r="BM9" i="11"/>
  <c r="Q9" i="11" s="1"/>
  <c r="S15" i="17"/>
  <c r="L17" i="2"/>
  <c r="V11" i="16"/>
  <c r="S9" i="17"/>
  <c r="BH17" i="11"/>
  <c r="BU15" i="17"/>
  <c r="BW16" i="20"/>
  <c r="S11" i="17"/>
  <c r="S15" i="16"/>
  <c r="S18" i="16" s="1"/>
  <c r="BK16" i="11"/>
  <c r="BK10" i="11"/>
  <c r="BK13" i="11" s="1"/>
  <c r="S16" i="17"/>
  <c r="V10" i="16"/>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G19" i="7"/>
  <c r="AO13" i="17"/>
  <c r="BF13" i="8"/>
  <c r="P12" i="11"/>
  <c r="BK19" i="11"/>
  <c r="S19" i="1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<sst xmlns="http://schemas.openxmlformats.org/spreadsheetml/2006/main" count="2102" uniqueCount="918">
  <si>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</si>
  <si>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</si>
  <si>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</si>
  <si>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</si>
  <si>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</si>
  <si>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</si>
  <si>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</si>
  <si>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</si>
  <si>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</si>
  <si>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</si>
  <si>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</si>
  <si>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</si>
  <si>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</si>
  <si>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</si>
  <si>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</si>
  <si>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</si>
  <si>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</si>
  <si>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</si>
  <si>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</si>
  <si>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</si>
  <si>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</si>
  <si>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</si>
  <si>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</si>
  <si>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</si>
  <si>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</si>
  <si>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</si>
  <si>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</si>
  <si>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</si>
  <si>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</si>
  <si>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</si>
  <si>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</si>
  <si>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</si>
  <si>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</si>
  <si>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</si>
  <si>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</si>
  <si>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</si>
  <si>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</si>
  <si>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</si>
  <si>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</si>
  <si>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</si>
  <si>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</si>
  <si>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</si>
  <si>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</si>
  <si>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</si>
  <si>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</si>
  <si>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</si>
  <si>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</si>
  <si>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</si>
  <si>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</si>
  <si>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</si>
  <si>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</si>
  <si>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</si>
  <si>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</si>
  <si>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</si>
  <si>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</si>
  <si>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</si>
  <si>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</si>
  <si>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</si>
  <si>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</si>
  <si>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</si>
  <si>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</si>
  <si>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</si>
  <si>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</si>
  <si>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</si>
  <si>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</si>
  <si>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</si>
  <si>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</si>
  <si>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</si>
  <si>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</si>
  <si>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</si>
  <si>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</si>
  <si>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</si>
  <si>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</si>
  <si>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</si>
  <si>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</si>
  <si>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</si>
  <si>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</si>
  <si>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</si>
  <si>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</si>
  <si>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</si>
  <si>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</si>
  <si>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</si>
  <si>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</si>
  <si>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</si>
  <si>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</si>
  <si>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</si>
  <si>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</si>
  <si>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</si>
  <si>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</si>
  <si>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</si>
  <si>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</si>
  <si>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</si>
  <si>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</si>
  <si>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</si>
  <si>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</si>
  <si>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</si>
  <si>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</si>
  <si>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</si>
  <si>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</si>
  <si>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</si>
  <si>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</si>
  <si>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</si>
  <si>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</si>
  <si>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</si>
  <si>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</si>
  <si>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</si>
  <si>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</si>
  <si>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</si>
  <si>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</si>
  <si>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</si>
  <si>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</si>
  <si>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</si>
  <si>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</si>
  <si>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</si>
  <si>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</si>
  <si>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</si>
  <si>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</si>
  <si>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</si>
  <si>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</si>
  <si>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</si>
  <si>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</si>
  <si>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</si>
  <si>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</si>
  <si>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</si>
  <si>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</si>
  <si>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</si>
  <si>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</si>
  <si>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</si>
  <si>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</si>
  <si>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</si>
  <si>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</si>
  <si>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</si>
  <si>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</si>
  <si>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</si>
  <si>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</si>
  <si>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</si>
  <si>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</si>
  <si>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</si>
  <si>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</si>
  <si>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</si>
  <si>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</si>
  <si>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</si>
  <si>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</si>
  <si>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</si>
  <si>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</si>
  <si>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</si>
  <si>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</si>
  <si>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</si>
  <si>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</si>
  <si>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</si>
  <si>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</si>
  <si>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</si>
  <si>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</si>
  <si>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</si>
  <si>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</si>
  <si>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</si>
  <si>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</si>
  <si>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</si>
  <si>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</si>
  <si>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</si>
  <si>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</si>
  <si>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</si>
  <si>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</si>
  <si>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</si>
  <si>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</si>
  <si>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</si>
  <si>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</si>
  <si>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</si>
  <si>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</si>
  <si>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</si>
  <si>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</si>
  <si>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</si>
  <si>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</si>
  <si>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</si>
  <si>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</si>
  <si>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</si>
  <si>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</si>
  <si>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</si>
  <si>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</si>
  <si>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</si>
  <si>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</si>
  <si>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</si>
  <si>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</si>
  <si>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</si>
  <si>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</si>
  <si>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</si>
  <si>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</si>
  <si>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</si>
  <si>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</si>
  <si>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</si>
  <si>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</si>
  <si>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</si>
  <si>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</si>
  <si>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</si>
  <si>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</si>
  <si>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</si>
  <si>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</si>
  <si>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</si>
  <si>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</si>
  <si>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</si>
  <si>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</si>
  <si>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</si>
  <si>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</si>
  <si>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</si>
  <si>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</si>
  <si>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</si>
  <si>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</si>
  <si>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</si>
  <si>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</si>
  <si>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</si>
  <si>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</si>
  <si>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</si>
  <si>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</si>
  <si>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</si>
  <si>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</si>
  <si>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</si>
  <si>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</si>
  <si>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</si>
  <si>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</si>
  <si>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</si>
  <si>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</si>
  <si>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</si>
  <si>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</si>
  <si>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</si>
  <si>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</si>
  <si>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</si>
  <si>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</si>
  <si>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</si>
  <si>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</si>
  <si>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</si>
  <si>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</si>
  <si>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</si>
  <si>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</si>
  <si>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</si>
  <si>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</si>
  <si>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</si>
  <si>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</si>
  <si>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</si>
  <si>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</si>
  <si>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</si>
  <si>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</si>
  <si>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</si>
  <si>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</si>
  <si>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</si>
  <si>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</si>
  <si>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</si>
  <si>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</si>
  <si>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</si>
  <si>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</si>
  <si>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</si>
  <si>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</si>
  <si>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</si>
  <si>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</si>
  <si>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</si>
  <si>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</si>
  <si>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</si>
  <si>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</si>
  <si>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</si>
  <si>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</si>
  <si>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</si>
  <si>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</si>
  <si>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</si>
  <si>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</si>
  <si>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</si>
  <si>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</si>
  <si>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</si>
  <si>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</si>
  <si>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</si>
  <si>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</si>
  <si>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</si>
  <si>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</si>
  <si>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</si>
  <si>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</si>
  <si>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</si>
  <si>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</si>
  <si>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</si>
  <si>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</si>
  <si>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</si>
  <si>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</si>
  <si>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</si>
  <si>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</si>
  <si>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</si>
  <si>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</si>
  <si>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</si>
  <si>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</si>
  <si>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</si>
  <si>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</si>
  <si>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</si>
  <si>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</si>
  <si>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</si>
  <si>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</si>
  <si>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</si>
  <si>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</si>
  <si>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</si>
  <si>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</si>
  <si>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</si>
  <si>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</si>
  <si>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</si>
  <si>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</si>
  <si>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</si>
  <si>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</si>
  <si>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</si>
  <si>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</si>
  <si>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</si>
  <si>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</si>
  <si>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</si>
  <si>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</si>
  <si>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</si>
  <si>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</si>
  <si>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</si>
  <si>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</si>
  <si>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</si>
  <si>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</si>
  <si>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</si>
  <si>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</si>
  <si>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</si>
  <si>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</si>
  <si>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</si>
  <si>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</si>
  <si>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</si>
  <si>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</si>
  <si>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</si>
  <si>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</si>
  <si>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</si>
  <si>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</si>
  <si>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</si>
  <si>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</si>
  <si>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</si>
  <si>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</si>
  <si>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</si>
  <si>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</si>
  <si>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</si>
  <si>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</si>
  <si>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</si>
  <si>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</si>
  <si>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</si>
  <si>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</si>
  <si>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</si>
  <si>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</si>
  <si>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</si>
  <si>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</si>
  <si>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</si>
  <si>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</si>
  <si>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</si>
  <si>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</si>
  <si>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</si>
  <si>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</si>
  <si>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</si>
  <si>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</si>
  <si>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</si>
  <si>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</si>
  <si>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</si>
  <si>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</si>
  <si>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</si>
  <si>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</si>
  <si>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</si>
  <si>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</si>
  <si>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</si>
  <si>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</si>
  <si>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</si>
  <si>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</si>
  <si>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</si>
  <si>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</si>
  <si>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</si>
  <si>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</si>
  <si>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</si>
  <si>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</si>
  <si>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</si>
  <si>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</si>
  <si>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</si>
  <si>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</si>
  <si>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</si>
  <si>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</si>
  <si>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</si>
  <si>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</si>
  <si>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</si>
  <si>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</si>
  <si>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</si>
  <si>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</si>
  <si>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</si>
  <si>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</si>
  <si>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</si>
  <si>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</si>
  <si>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</si>
  <si>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</si>
  <si>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</si>
  <si>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</si>
  <si>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</si>
  <si>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</si>
  <si>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</si>
  <si>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</si>
  <si>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</si>
  <si>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</si>
  <si>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</si>
  <si>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</si>
  <si>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</si>
  <si>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</si>
  <si>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</si>
  <si>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</si>
  <si>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</si>
  <si>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</si>
  <si>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</si>
  <si>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</si>
  <si>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</si>
  <si>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</si>
  <si>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</si>
  <si>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</si>
  <si>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</si>
  <si>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</si>
  <si>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</si>
  <si>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</si>
  <si>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</si>
  <si>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</si>
  <si>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</si>
  <si>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</si>
  <si>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</si>
  <si>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</si>
  <si>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</si>
  <si>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</si>
  <si>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</si>
  <si>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</si>
  <si>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</si>
  <si>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</si>
  <si>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</si>
  <si>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</si>
  <si>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</si>
  <si>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</si>
  <si>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</si>
  <si>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</si>
  <si>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</si>
  <si>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</si>
  <si>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</si>
  <si>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</si>
  <si>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</si>
  <si>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</si>
  <si>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</si>
  <si>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</si>
  <si>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</si>
  <si>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</si>
  <si>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</si>
  <si>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</si>
  <si>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</si>
  <si>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</si>
  <si>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</si>
  <si>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</si>
  <si>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</si>
  <si>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</si>
  <si>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</si>
  <si>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</si>
  <si>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</si>
  <si>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</si>
  <si>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</si>
  <si>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</si>
  <si>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</si>
  <si>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</si>
  <si>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</si>
  <si>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</si>
  <si>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</si>
  <si>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</si>
  <si>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</si>
  <si>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</si>
  <si>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</si>
  <si>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</si>
  <si>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</si>
  <si>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</si>
  <si>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</si>
  <si>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</si>
  <si>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</si>
  <si>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</si>
  <si>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</si>
  <si>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</si>
  <si>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</si>
  <si>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</si>
  <si>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</si>
  <si>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</si>
  <si>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</si>
  <si>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</si>
  <si>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</si>
  <si>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</si>
  <si>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</si>
  <si>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</si>
  <si>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</si>
  <si>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</si>
  <si>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</si>
  <si>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</si>
  <si>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</si>
  <si>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</si>
  <si>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</si>
  <si>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</si>
  <si>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</si>
  <si>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</si>
  <si>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</si>
  <si>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</si>
  <si>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</si>
  <si>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</si>
  <si>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</si>
  <si>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</si>
  <si>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</si>
  <si>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</si>
  <si>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</si>
  <si>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</si>
  <si>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</si>
  <si>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</si>
  <si>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</si>
  <si>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</si>
  <si>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</si>
  <si>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</si>
  <si>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</si>
  <si>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</si>
  <si>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</si>
  <si>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</si>
  <si>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</si>
  <si>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</si>
  <si>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</si>
  <si>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</si>
  <si>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</si>
  <si>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</si>
  <si>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</si>
  <si>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</si>
  <si>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</si>
  <si>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</si>
  <si>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</si>
  <si>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</si>
  <si>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</si>
  <si>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</si>
  <si>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</si>
  <si>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</si>
  <si>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</si>
  <si>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</si>
  <si>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</si>
  <si>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</si>
  <si>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</si>
  <si>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</si>
  <si>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</si>
  <si>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</si>
  <si>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</si>
  <si>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</si>
  <si>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</si>
  <si>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</si>
  <si>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</si>
  <si>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</si>
  <si>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</si>
  <si>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</si>
  <si>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</si>
  <si>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</si>
  <si>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</si>
  <si>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</si>
  <si>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</si>
  <si>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</si>
  <si>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</si>
  <si>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</si>
  <si>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</si>
  <si>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</si>
  <si>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</si>
  <si>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</si>
  <si>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</si>
  <si>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</si>
  <si>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</si>
  <si>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</si>
  <si>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</si>
  <si>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</si>
  <si>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</si>
  <si>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</si>
  <si>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</si>
  <si>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</si>
  <si>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</si>
  <si>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</si>
  <si>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</si>
  <si>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</si>
  <si>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</si>
  <si>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</si>
  <si>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</si>
  <si>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</si>
  <si>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</si>
  <si>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</si>
  <si>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</si>
  <si>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</si>
  <si>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</si>
  <si>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</si>
  <si>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</si>
  <si>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</si>
  <si>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</si>
  <si>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</si>
  <si>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</si>
  <si>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</si>
  <si>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</si>
  <si>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</si>
  <si>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</si>
  <si>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</si>
  <si>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</si>
  <si>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</si>
  <si>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</si>
  <si>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</si>
  <si>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</si>
  <si>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</si>
  <si>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</si>
  <si>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</si>
  <si>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</si>
  <si>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</si>
  <si>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</si>
  <si>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</si>
  <si>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</si>
  <si>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</si>
  <si>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</si>
  <si>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</si>
  <si>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</si>
  <si>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</si>
  <si>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</si>
  <si>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</si>
  <si>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</si>
  <si>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</si>
  <si>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</si>
  <si>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</si>
  <si>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</si>
  <si>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</si>
  <si>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</si>
  <si>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</si>
  <si>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</si>
  <si>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</si>
  <si>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</si>
  <si>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</si>
  <si>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</si>
  <si>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</si>
  <si>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</si>
  <si>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</si>
  <si>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</si>
  <si>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</si>
  <si>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</si>
  <si>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</si>
  <si>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</si>
  <si>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</si>
  <si>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</si>
  <si>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</si>
  <si>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</si>
  <si>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</si>
  <si>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</si>
  <si>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</si>
  <si>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</si>
  <si>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</si>
  <si>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</si>
  <si>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</si>
  <si>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</si>
  <si>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</si>
  <si>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</si>
  <si>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</si>
  <si>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</si>
  <si>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</si>
  <si>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</si>
  <si>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</si>
  <si>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</si>
  <si>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</si>
  <si>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</si>
  <si>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</si>
  <si>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</si>
  <si>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</si>
  <si>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</si>
  <si>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</si>
  <si>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</si>
  <si>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</si>
  <si>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</si>
  <si>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</si>
  <si>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</si>
  <si>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</si>
  <si>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</si>
  <si>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</si>
  <si>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</si>
  <si>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</si>
  <si>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</si>
  <si>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</si>
  <si>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</si>
  <si>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</si>
  <si>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</si>
  <si>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</si>
  <si>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</si>
  <si>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</si>
  <si>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</si>
  <si>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</si>
  <si>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</si>
  <si>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</si>
  <si>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</si>
  <si>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</si>
  <si>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</si>
  <si>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</si>
  <si>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</si>
  <si>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</si>
  <si>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</si>
  <si>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</si>
  <si>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</si>
  <si>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</si>
  <si>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</si>
  <si>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</si>
  <si>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</si>
  <si>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</si>
  <si>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</si>
  <si>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</si>
  <si>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</si>
  <si>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</si>
  <si>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</si>
  <si>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</si>
  <si>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</si>
  <si>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</si>
  <si>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</si>
  <si>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</si>
  <si>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</si>
  <si>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</si>
  <si>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</si>
  <si>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</si>
  <si>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</si>
  <si>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</si>
  <si>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</si>
  <si>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</si>
  <si>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</si>
  <si>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</si>
  <si>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</si>
  <si>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</si>
  <si>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</si>
  <si>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</si>
  <si>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</si>
  <si>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</si>
  <si>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</si>
  <si>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</si>
  <si>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</si>
  <si>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</si>
  <si>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</si>
  <si>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</si>
  <si>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</si>
  <si>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</si>
  <si>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</si>
  <si>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</si>
  <si>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</si>
  <si>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</si>
  <si>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</si>
  <si>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</si>
  <si>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</si>
  <si>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</si>
  <si>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</si>
  <si>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</si>
  <si>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</si>
  <si>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</si>
  <si>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</si>
  <si>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</si>
  <si>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</si>
  <si>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</si>
  <si>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</si>
  <si>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</si>
  <si>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</si>
  <si>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</si>
  <si>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</si>
  <si>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</si>
  <si>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</si>
  <si>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</si>
  <si>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</si>
  <si>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</si>
  <si>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</si>
  <si>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</si>
  <si>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</si>
  <si>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</si>
  <si>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</si>
  <si>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</si>
  <si>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</si>
  <si>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</si>
  <si>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</si>
  <si>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</si>
  <si>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</si>
  <si>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</si>
  <si>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</si>
  <si>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</si>
  <si>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</si>
  <si>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</si>
  <si>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</si>
  <si>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</si>
  <si>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</si>
  <si>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</si>
  <si>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</si>
  <si>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</si>
  <si>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</si>
  <si>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</si>
  <si>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</si>
  <si>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</si>
  <si>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</si>
  <si>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</si>
  <si>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</si>
  <si>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</si>
  <si>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</si>
  <si>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</si>
  <si>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</si>
  <si>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</si>
  <si>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</si>
  <si>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</si>
  <si>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</si>
  <si>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</si>
  <si>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</si>
  <si>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</si>
  <si>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</si>
  <si>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</si>
  <si>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</si>
  <si>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</si>
  <si>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</si>
  <si>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</si>
  <si>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</si>
  <si>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</si>
  <si>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</si>
  <si>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</si>
  <si>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</si>
  <si>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</si>
  <si>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</si>
  <si>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</si>
  <si>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</si>
  <si>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</si>
  <si>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</si>
  <si>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</si>
  <si>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</si>
  <si>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</si>
  <si>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</si>
  <si>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</si>
  <si>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</si>
  <si>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</si>
  <si>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</si>
  <si>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</si>
  <si>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</si>
  <si>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</si>
  <si>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</si>
  <si>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</si>
  <si>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</si>
  <si>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</si>
  <si>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</si>
  <si>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</si>
  <si>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</si>
  <si>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</si>
  <si>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</si>
  <si>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</si>
  <si>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</si>
  <si>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</si>
  <si>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</si>
  <si>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</si>
  <si>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</si>
  <si>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</si>
  <si>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</si>
  <si>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</si>
  <si>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</si>
  <si>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</si>
  <si>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</si>
  <si>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</si>
  <si>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</si>
  <si>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</si>
  <si>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</si>
  <si>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</si>
  <si>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</si>
  <si>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</si>
  <si>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</si>
  <si>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</si>
  <si>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</si>
  <si>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</si>
  <si>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</si>
  <si>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</si>
  <si>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</si>
  <si>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</si>
  <si>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</si>
  <si>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</si>
  <si>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</si>
  <si>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</si>
  <si>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</si>
  <si>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</si>
  <si>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</si>
  <si>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</si>
  <si>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</si>
  <si>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</si>
  <si>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</si>
  <si>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</si>
  <si>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</si>
  <si>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</si>
  <si>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</si>
  <si>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</si>
  <si>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</si>
  <si>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</si>
  <si>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</si>
  <si>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</si>
  <si>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</si>
  <si>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</si>
  <si>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</si>
  <si>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</si>
  <si>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</si>
  <si>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</si>
  <si>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</si>
  <si>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</si>
  <si>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</si>
  <si>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</si>
  <si>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</si>
  <si>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</si>
  <si>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</si>
  <si>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</si>
  <si>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</si>
  <si>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</si>
  <si>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</si>
  <si>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</si>
  <si>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</si>
  <si>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</si>
  <si>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</si>
  <si>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</si>
  <si>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</si>
  <si>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</si>
  <si>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</si>
  <si>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</si>
  <si>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</si>
  <si>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</si>
  <si>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</si>
  <si>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</si>
  <si>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</si>
  <si>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</si>
  <si>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</si>
  <si>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</si>
  <si>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</si>
  <si>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</si>
  <si>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</si>
  <si>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</si>
  <si>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GRANADA</t>
  </si>
  <si>
    <t>Resumenes por Partidos Judiciales</t>
  </si>
  <si>
    <t>MOTRIL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</si>
</sst>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KZTp8Zn8uBbDGO4NGXx50c2WpUfgNhakkLPoOq/9m9GRCiLCYWdqz2rZT+8ZYBteW2payl9Ue/7/YQtqBU8g==" saltValue="vDU7HKlwzuCV4/M4LlAFo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GRANADA</v>
      </c>
      <c r="D3" s="375"/>
      <c r="E3" s="375"/>
      <c r="F3" s="375"/>
      <c r="BQ3" s="471"/>
    </row>
    <row r="4" spans="1:69" ht="13.5" thickBot="1">
      <c r="A4" s="375"/>
      <c r="B4" s="391" t="str">
        <f>Criterios!A11 &amp;"  "&amp;Criterios!B11</f>
        <v>Resumenes por Partidos Judiciales  MOTRIL</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50</v>
      </c>
      <c r="D10" s="404">
        <f>IF(ISNUMBER(C10/Datos!BH10),C10/Datos!BH10," - ")</f>
        <v>50</v>
      </c>
      <c r="E10" s="403">
        <f>IF(ISNUMBER(Datos!J10),Datos!J10," - ")</f>
        <v>93</v>
      </c>
      <c r="F10" s="404">
        <f>IF(ISNUMBER(E10/B10),E10/B10," - ")</f>
        <v>93</v>
      </c>
      <c r="G10" s="403">
        <f>IF(ISNUMBER(Datos!K10),Datos!K10," - ")</f>
        <v>84</v>
      </c>
      <c r="H10" s="404">
        <f>IF(ISNUMBER(G10/B10),G10/B10," - ")</f>
        <v>84</v>
      </c>
      <c r="I10" s="403">
        <f>IF(ISNUMBER(Datos!L10),Datos!L10," - ")</f>
        <v>59</v>
      </c>
      <c r="J10" s="404">
        <f>IF(ISNUMBER(I10/B10),I10/B10," - ")</f>
        <v>59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2706</v>
      </c>
      <c r="D12" s="404">
        <f>IF(ISNUMBER(C12/Datos!BH12),C12/Datos!BH12," - ")</f>
        <v>541.20000000000005</v>
      </c>
      <c r="E12" s="403">
        <f>IF(ISNUMBER(IF(J_V="SI",Datos!J12,Datos!J12+Datos!Z12)),IF(J_V="SI",Datos!J12,Datos!J12+Datos!Z12)," - ")</f>
        <v>5656</v>
      </c>
      <c r="F12" s="404">
        <f>IF(ISNUMBER(E12/B12),E12/B12," - ")</f>
        <v>1131.2</v>
      </c>
      <c r="G12" s="403">
        <f>IF(ISNUMBER(IF(J_V="SI",Datos!K12,Datos!K12+Datos!AA12)),IF(J_V="SI",Datos!K12,Datos!K12+Datos!AA12)," - ")</f>
        <v>4536</v>
      </c>
      <c r="H12" s="404">
        <f>IF(ISNUMBER(G12/B12),G12/B12," - ")</f>
        <v>907.2</v>
      </c>
      <c r="I12" s="403">
        <f>IF(ISNUMBER(IF(J_V="SI",Datos!L12,Datos!L12+Datos!AB12)),IF(J_V="SI",Datos!L12,Datos!L12+Datos!AB12)," - ")</f>
        <v>3826</v>
      </c>
      <c r="J12" s="404">
        <f>IF(ISNUMBER(I12/B12),I12/B12," - ")</f>
        <v>765.2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2756</v>
      </c>
      <c r="D13" s="850" t="str">
        <f>IF(ISNUMBER(C13/Datos!BI13),C13/Datos!BI13," - ")</f>
        <v xml:space="preserve"> - </v>
      </c>
      <c r="E13" s="849">
        <f>SUBTOTAL(9,E8:E12)</f>
        <v>5749</v>
      </c>
      <c r="F13" s="850">
        <f>IF(ISNUMBER(E13/B13),E13/B13," - ")</f>
        <v>1149.8</v>
      </c>
      <c r="G13" s="849">
        <f>SUBTOTAL(9,G8:G12)</f>
        <v>4620</v>
      </c>
      <c r="H13" s="850">
        <f>IF(ISNUMBER(G13/B13),G13/B13," - ")</f>
        <v>924</v>
      </c>
      <c r="I13" s="849">
        <f>SUBTOTAL(9,I8:I12)</f>
        <v>3885</v>
      </c>
      <c r="J13" s="850">
        <f>IF(ISNUMBER(I13/B13),I13/B13," - ")</f>
        <v>777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1658</v>
      </c>
      <c r="D16" s="404">
        <f>IF(ISNUMBER(C16/Datos!BH16),C16/Datos!BH16," - ")</f>
        <v>331.6</v>
      </c>
      <c r="E16" s="403">
        <f>IF(ISNUMBER(IF(D_I="SI",Datos!J16,Datos!J16+Datos!AD16)),IF(D_I="SI",Datos!J16,Datos!J16+Datos!AD16)," - ")</f>
        <v>7659</v>
      </c>
      <c r="F16" s="404">
        <f>IF(ISNUMBER(E16/B16),E16/B16," - ")</f>
        <v>1531.8</v>
      </c>
      <c r="G16" s="403">
        <f>IF(ISNUMBER(IF(D_I="SI",Datos!K16,Datos!K16+Datos!AE16)),IF(D_I="SI",Datos!K16,Datos!K16+Datos!AE16)," - ")</f>
        <v>7498</v>
      </c>
      <c r="H16" s="404">
        <f>IF(ISNUMBER(G16/B16),G16/B16," - ")</f>
        <v>1499.6</v>
      </c>
      <c r="I16" s="403">
        <f>IF(ISNUMBER(IF(D_I="SI",Datos!L16,Datos!L16+Datos!AF16)),IF(D_I="SI",Datos!L16,Datos!L16+Datos!AF16)," - ")</f>
        <v>1835</v>
      </c>
      <c r="J16" s="404">
        <f>IF(ISNUMBER(I16/B16),I16/B16," - ")</f>
        <v>367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149</v>
      </c>
      <c r="D17" s="404">
        <f>IF(ISNUMBER(C17/Datos!BH17),C17/Datos!BH17," - ")</f>
        <v>149</v>
      </c>
      <c r="E17" s="403">
        <f>IF(ISNUMBER(IF(D_I="SI",Datos!J17,Datos!J17+Datos!AD17)),IF(D_I="SI",Datos!J17,Datos!J17+Datos!AD17)," - ")</f>
        <v>829</v>
      </c>
      <c r="F17" s="404">
        <f>IF(ISNUMBER(E17/B17),E17/B17," - ")</f>
        <v>829</v>
      </c>
      <c r="G17" s="403">
        <f>IF(ISNUMBER(IF(D_I="SI",Datos!K17,Datos!K17+Datos!AE17)),IF(D_I="SI",Datos!K17,Datos!K17+Datos!AE17)," - ")</f>
        <v>785</v>
      </c>
      <c r="H17" s="404">
        <f>IF(ISNUMBER(G17/B17),G17/B17," - ")</f>
        <v>785</v>
      </c>
      <c r="I17" s="403">
        <f>IF(ISNUMBER(IF(D_I="SI",Datos!L17,Datos!L17+Datos!AF17)),IF(D_I="SI",Datos!L17,Datos!L17+Datos!AF17)," - ")</f>
        <v>212</v>
      </c>
      <c r="J17" s="404">
        <f>IF(ISNUMBER(I17/B17),I17/B17," - ")</f>
        <v>212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1807</v>
      </c>
      <c r="D18" s="850" t="str">
        <f>IF(ISNUMBER(C18/Datos!BI18),C18/Datos!BI18," - ")</f>
        <v xml:space="preserve"> - </v>
      </c>
      <c r="E18" s="849">
        <f>SUBTOTAL(9,E14:E17)</f>
        <v>8488</v>
      </c>
      <c r="F18" s="850">
        <f>IF(ISNUMBER(E18/B18),E18/B18," - ")</f>
        <v>1697.6</v>
      </c>
      <c r="G18" s="849">
        <f>SUBTOTAL(9,G14:G17)</f>
        <v>8283</v>
      </c>
      <c r="H18" s="850">
        <f>IF(ISNUMBER(G18/B18),G18/B18," - ")</f>
        <v>1656.6</v>
      </c>
      <c r="I18" s="849">
        <f>SUBTOTAL(9,I14:I17)</f>
        <v>2047</v>
      </c>
      <c r="J18" s="850">
        <f>IF(ISNUMBER(I18/B18),I18/B18," - ")</f>
        <v>409.4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4563</v>
      </c>
      <c r="D19" s="795" t="str">
        <f>IF(ISNUMBER(C19/Datos!BI19),C19/Datos!BI19," - ")</f>
        <v xml:space="preserve"> - </v>
      </c>
      <c r="E19" s="794">
        <f>SUBTOTAL(9,E9:E18)</f>
        <v>14237</v>
      </c>
      <c r="F19" s="795">
        <f>IF(ISNUMBER(E19/B19),E19/B19," - ")</f>
        <v>2847.4</v>
      </c>
      <c r="G19" s="794">
        <f>SUBTOTAL(9,G9:G18)</f>
        <v>12903</v>
      </c>
      <c r="H19" s="795">
        <f>IF(ISNUMBER(G19/B19),G19/B19," - ")</f>
        <v>2580.6</v>
      </c>
      <c r="I19" s="794">
        <f>SUBTOTAL(9,I9:I18)</f>
        <v>5932</v>
      </c>
      <c r="J19" s="795">
        <f>IF(ISNUMBER(I19/B19),I19/B19," - ")</f>
        <v>1186.4000000000001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IrIDTIT/Poi/sPbCy7NpYiBHt5MCG0n0fZCRu3JVyyGVTsy15+NZIeCshfe29b45xLwXUvpABINUBbbWMuIVRw==" saltValue="9rGj/SJdDdLnzyPhZDK7B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GRANADA</v>
      </c>
      <c r="C3" s="415"/>
      <c r="F3" s="375"/>
      <c r="G3" s="375"/>
      <c r="H3" s="375"/>
    </row>
    <row r="4" spans="1:15" ht="13.5" thickBot="1">
      <c r="A4" s="375"/>
      <c r="B4" s="391" t="str">
        <f>Criterios!A11 &amp;"  "&amp;Criterios!B11</f>
        <v>Resumenes por Partidos Judiciales  MOTRIL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R569ltyTyZPwL7gYL/X+7jrzvVFpt3f93VBGEZ8rCtnE4YkOHAS+f2YFY6shm7r4PRbWJXXSvb8juPS73s46eg==" saltValue="5CUwsghi4HQ84YBnkg4zG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GRANADA</v>
      </c>
      <c r="C3" s="391"/>
      <c r="D3" s="425"/>
      <c r="BZ3" s="471"/>
    </row>
    <row r="4" spans="1:78" ht="13.5" thickBot="1">
      <c r="B4" s="391" t="str">
        <f>Criterios!A11 &amp;"  "&amp;Criterios!B11</f>
        <v>Resumenes por Partidos Judiciales  MOTRIL</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34</v>
      </c>
      <c r="E10" s="404">
        <f>IF(ISNUMBER(D10/B10),D10/B10," - ")</f>
        <v>34</v>
      </c>
      <c r="F10" s="403">
        <f>IF(ISNUMBER(Datos!N10),Datos!N10," - ")</f>
        <v>16</v>
      </c>
      <c r="G10" s="404">
        <f>IF(ISNUMBER(F10/B10),F10/B10," - ")</f>
        <v>16</v>
      </c>
      <c r="H10" s="403">
        <f>IF(ISNUMBER(Datos!O10),Datos!O10," - ")</f>
        <v>46</v>
      </c>
      <c r="I10" s="404">
        <f t="shared" ref="I10:I12" si="2">IF(ISNUMBER(H10/B10),H10/B10," - ")</f>
        <v>46</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941</v>
      </c>
      <c r="E12" s="404">
        <f t="shared" si="0"/>
        <v>188.2</v>
      </c>
      <c r="F12" s="403">
        <f>IF(ISNUMBER(Datos!N12),Datos!N12," - ")</f>
        <v>2183</v>
      </c>
      <c r="G12" s="404">
        <f t="shared" si="1"/>
        <v>436.6</v>
      </c>
      <c r="H12" s="403">
        <f>IF(ISNUMBER(Datos!O12),Datos!O12," - ")</f>
        <v>1903</v>
      </c>
      <c r="I12" s="404">
        <f t="shared" si="2"/>
        <v>380.6</v>
      </c>
      <c r="BZ12" s="1186">
        <f>Datos!EZ12</f>
        <v>0</v>
      </c>
    </row>
    <row r="13" spans="1:78" ht="14.25" thickTop="1" thickBot="1">
      <c r="A13" s="848" t="str">
        <f>Datos!A13</f>
        <v>TOTAL</v>
      </c>
      <c r="B13" s="849">
        <f>Datos!AP13</f>
        <v>5</v>
      </c>
      <c r="C13" s="851">
        <f>Datos!AR13</f>
        <v>5</v>
      </c>
      <c r="D13" s="849">
        <f>SUBTOTAL(9,D9:D12)</f>
        <v>975</v>
      </c>
      <c r="E13" s="850">
        <f t="shared" si="0"/>
        <v>195</v>
      </c>
      <c r="F13" s="849">
        <f>SUBTOTAL(9,F9:F12)</f>
        <v>2199</v>
      </c>
      <c r="G13" s="850">
        <f t="shared" si="1"/>
        <v>439.8</v>
      </c>
      <c r="H13" s="849">
        <f>SUBTOTAL(9,H9:H12)</f>
        <v>1949</v>
      </c>
      <c r="I13" s="850">
        <f>IF(ISNUMBER(H13/B13),H13/B13," - ")</f>
        <v>389.8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770</v>
      </c>
      <c r="E16" s="404">
        <f t="shared" si="3"/>
        <v>154</v>
      </c>
      <c r="F16" s="403">
        <f>IF(ISNUMBER(Datos!N16),Datos!N16," - ")</f>
        <v>5246</v>
      </c>
      <c r="G16" s="404">
        <f t="shared" si="4"/>
        <v>1049.2</v>
      </c>
      <c r="H16" s="403">
        <f>IF(ISNUMBER(Datos!O16),Datos!O16," - ")</f>
        <v>109</v>
      </c>
      <c r="I16" s="404">
        <f t="shared" si="5"/>
        <v>21.8</v>
      </c>
      <c r="BZ16" s="1186">
        <f>Datos!EZ16</f>
        <v>0</v>
      </c>
    </row>
    <row r="17" spans="1:78" ht="13.5" thickBot="1">
      <c r="A17" s="402" t="str">
        <f>Datos!A17</f>
        <v>Jdos. Violencia contra la mujer</v>
      </c>
      <c r="B17" s="427">
        <f>Datos!AO17</f>
        <v>1</v>
      </c>
      <c r="C17" s="428">
        <f>Datos!AQ17</f>
        <v>0</v>
      </c>
      <c r="D17" s="403">
        <f>IF(ISNUMBER(Datos!M17),Datos!M17," - ")</f>
        <v>182</v>
      </c>
      <c r="E17" s="404">
        <f>IF(ISNUMBER(D17/B17),D17/B17," - ")</f>
        <v>182</v>
      </c>
      <c r="F17" s="403">
        <f>IF(ISNUMBER(Datos!N17),Datos!N17," - ")</f>
        <v>339</v>
      </c>
      <c r="G17" s="404">
        <f>IF(ISNUMBER(F17/B17),F17/B17," - ")</f>
        <v>339</v>
      </c>
      <c r="H17" s="403">
        <f>IF(ISNUMBER(Datos!O17),Datos!O17," - ")</f>
        <v>16</v>
      </c>
      <c r="I17" s="404">
        <f t="shared" si="5"/>
        <v>16</v>
      </c>
      <c r="BZ17" s="1186">
        <f>Datos!EZ17</f>
        <v>0</v>
      </c>
    </row>
    <row r="18" spans="1:78" ht="14.25" thickTop="1" thickBot="1">
      <c r="A18" s="848" t="str">
        <f>Datos!A18</f>
        <v>TOTAL</v>
      </c>
      <c r="B18" s="849">
        <f>Datos!AP18</f>
        <v>5</v>
      </c>
      <c r="C18" s="851">
        <f>Datos!AR18</f>
        <v>5</v>
      </c>
      <c r="D18" s="849">
        <f>SUBTOTAL(9,D15:D17)</f>
        <v>952</v>
      </c>
      <c r="E18" s="850">
        <f t="shared" si="3"/>
        <v>190.4</v>
      </c>
      <c r="F18" s="849">
        <f>SUBTOTAL(9,F15:F17)</f>
        <v>5585</v>
      </c>
      <c r="G18" s="850">
        <f t="shared" si="4"/>
        <v>1117</v>
      </c>
      <c r="H18" s="849">
        <f>SUBTOTAL(9,H15:H17)</f>
        <v>125</v>
      </c>
      <c r="I18" s="850">
        <f>IF(ISNUMBER(H18/B18),H18/B18," - ")</f>
        <v>25</v>
      </c>
      <c r="BZ18" s="1186"/>
    </row>
    <row r="19" spans="1:78" ht="14.25" thickTop="1" thickBot="1">
      <c r="A19" s="793" t="str">
        <f>Datos!A19</f>
        <v>TOTAL JURISDICCIONES</v>
      </c>
      <c r="B19" s="794">
        <f>Datos!AP19</f>
        <v>5</v>
      </c>
      <c r="C19" s="794">
        <f>Datos!AR19</f>
        <v>5</v>
      </c>
      <c r="D19" s="794">
        <f>SUBTOTAL(9,D8:D18)</f>
        <v>1927</v>
      </c>
      <c r="E19" s="795">
        <f>IF(ISNUMBER(D19/B19),D19/B19," - ")</f>
        <v>385.4</v>
      </c>
      <c r="F19" s="794">
        <f>SUBTOTAL(9,F8:F18)</f>
        <v>7784</v>
      </c>
      <c r="G19" s="795">
        <f>IF(ISNUMBER(F19/B19),F19/B19," - ")</f>
        <v>1556.8</v>
      </c>
      <c r="H19" s="794">
        <f>SUBTOTAL(9,H8:H18)</f>
        <v>2074</v>
      </c>
      <c r="I19" s="795">
        <f>IF(ISNUMBER(H19/B19),H19/B19," - ")</f>
        <v>414.8</v>
      </c>
    </row>
    <row r="22" spans="1:78">
      <c r="A22" s="391" t="str">
        <f>Criterios!A4</f>
        <v>Fecha Informe: 28 feb. 2025</v>
      </c>
    </row>
    <row r="27" spans="1:78">
      <c r="A27" s="414"/>
    </row>
  </sheetData>
  <sheetProtection algorithmName="SHA-512" hashValue="s7Tpifml0hhFQe8Gu9van096lfVmAu4t2U+XSx/XgNIg1qBV6vCBMCbfWkPRBs1PXUhQG0rvh2uYIDk8k39ilg==" saltValue="Mdz3g9TXxzOsYWuzvOiVn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GRANADA</v>
      </c>
    </row>
    <row r="4" spans="1:4" ht="13.5" thickBot="1">
      <c r="B4" s="391" t="str">
        <f>Criterios!A11 &amp;"  "&amp;Criterios!B11</f>
        <v>Resumenes por Partidos Judiciales  MOTRIL</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32</v>
      </c>
      <c r="C10" s="434">
        <f>IF(ISNUMBER(Datos!Q10),Datos!Q10," - ")</f>
        <v>29</v>
      </c>
      <c r="D10" s="408">
        <f>IF(ISNUMBER(Datos!R10),Datos!R10," - ")</f>
        <v>17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1151</v>
      </c>
      <c r="C12" s="434">
        <f>IF(ISNUMBER(Datos!Q12),Datos!Q12," - ")</f>
        <v>1943</v>
      </c>
      <c r="D12" s="408">
        <f>IF(ISNUMBER(Datos!R12),Datos!R12," - ")</f>
        <v>3893</v>
      </c>
    </row>
    <row r="13" spans="1:4" ht="14.25" thickTop="1" thickBot="1">
      <c r="A13" s="848" t="str">
        <f>Datos!A13</f>
        <v>TOTAL</v>
      </c>
      <c r="B13" s="849">
        <f>SUBTOTAL(9,B9:B12)</f>
        <v>1183</v>
      </c>
      <c r="C13" s="853">
        <f>SUBTOTAL(9,C9:C12)</f>
        <v>1972</v>
      </c>
      <c r="D13" s="851">
        <f>SUBTOTAL(9,D9:D12)</f>
        <v>3910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263</v>
      </c>
      <c r="C16" s="434">
        <f>IF(ISNUMBER(Datos!Q16),Datos!Q16," - ")</f>
        <v>175</v>
      </c>
      <c r="D16" s="408">
        <f>IF(ISNUMBER(Datos!R16),Datos!R16," - ")</f>
        <v>234</v>
      </c>
    </row>
    <row r="17" spans="1:4" ht="13.5" thickBot="1">
      <c r="A17" s="402" t="str">
        <f>Datos!A17</f>
        <v>Jdos. Violencia contra la mujer</v>
      </c>
      <c r="B17" s="433">
        <f>IF(ISNUMBER(Datos!P17),Datos!P17," - ")</f>
        <v>11</v>
      </c>
      <c r="C17" s="434">
        <f>IF(ISNUMBER(Datos!Q17),Datos!Q17," - ")</f>
        <v>18</v>
      </c>
      <c r="D17" s="408">
        <f>IF(ISNUMBER(Datos!R17),Datos!R17," - ")</f>
        <v>7</v>
      </c>
    </row>
    <row r="18" spans="1:4" ht="14.25" thickTop="1" thickBot="1">
      <c r="A18" s="848" t="str">
        <f>Datos!A18</f>
        <v>TOTAL</v>
      </c>
      <c r="B18" s="849">
        <f>SUBTOTAL(9,B15:B17)</f>
        <v>274</v>
      </c>
      <c r="C18" s="853">
        <f>SUBTOTAL(9,C15:C17)</f>
        <v>193</v>
      </c>
      <c r="D18" s="851">
        <f>SUBTOTAL(9,D15:D17)</f>
        <v>241</v>
      </c>
    </row>
    <row r="19" spans="1:4" ht="16.5" customHeight="1" thickTop="1" thickBot="1">
      <c r="A19" s="793" t="str">
        <f>Datos!A19</f>
        <v>TOTAL JURISDICCIONES</v>
      </c>
      <c r="B19" s="798">
        <f>SUBTOTAL(9,B8:B18)</f>
        <v>1457</v>
      </c>
      <c r="C19" s="799">
        <f>SUBTOTAL(9,C8:C18)</f>
        <v>2165</v>
      </c>
      <c r="D19" s="800">
        <f>SUBTOTAL(9,D8:D18)</f>
        <v>4151</v>
      </c>
    </row>
    <row r="20" spans="1:4" ht="7.5" customHeight="1"/>
    <row r="21" spans="1:4" ht="6" customHeight="1"/>
    <row r="22" spans="1:4">
      <c r="A22" s="391" t="str">
        <f>Criterios!A4</f>
        <v>Fecha Informe: 28 feb. 2025</v>
      </c>
    </row>
    <row r="27" spans="1:4">
      <c r="A27" s="414"/>
    </row>
  </sheetData>
  <sheetProtection algorithmName="SHA-512" hashValue="CD9ElQ+PS/TcYA42f9TUTnkrHutTBWEr4SPmgrQ6a2j/6qXZQM3cJzxvlq572njBmvj5YPf07o/6yQvEjxzq0A==" saltValue="p4hjuSg4TvbVTZMvgFw+U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GRANADA</v>
      </c>
    </row>
    <row r="4" spans="1:11" ht="10.5" customHeight="1" thickBot="1">
      <c r="B4" s="391" t="str">
        <f>Criterios!A11 &amp;"  "&amp;Criterios!B11</f>
        <v>Resumenes por Partidos Judiciales  MOTRIL</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1.2727272727272727</v>
      </c>
      <c r="C10" s="456">
        <f>IF(ISNUMBER((Datos!J10-Datos!T10)/Datos!T10),(Datos!J10-Datos!T10)/Datos!T10," - ")</f>
        <v>0.55000000000000004</v>
      </c>
      <c r="D10" s="456">
        <f>IF(ISNUMBER((Datos!K10-Datos!U10)/Datos!U10),(Datos!K10-Datos!U10)/Datos!U10," - ")</f>
        <v>1.1538461538461537</v>
      </c>
      <c r="E10" s="456">
        <f>IF(ISNUMBER((Datos!L10-Datos!V10)/Datos!V10),(Datos!L10-Datos!V10)/Datos!V10," - ")</f>
        <v>0.18</v>
      </c>
      <c r="F10" s="456">
        <f>IF(ISNUMBER((Datos!M10-Datos!W10)/Datos!W10),(Datos!M10-Datos!W10)/Datos!W10," - ")</f>
        <v>0.61904761904761907</v>
      </c>
      <c r="G10" s="457">
        <f>IF(ISNUMBER((Datos!N10-Datos!X10)/Datos!X10),(Datos!N10-Datos!X10)/Datos!X10," - ")</f>
        <v>0.33333333333333331</v>
      </c>
      <c r="H10" s="455">
        <f>IF(ISNUMBER(((NºAsuntos!G10/NºAsuntos!E10)-Datos!BD10)/Datos!BD10),((NºAsuntos!G10/NºAsuntos!E10)-Datos!BD10)/Datos!BD10," - ")</f>
        <v>0.38957816377171206</v>
      </c>
      <c r="I10" s="456">
        <f>IF(ISNUMBER(((NºAsuntos!I10/NºAsuntos!G10)-Datos!BE10)/Datos!BE10),((NºAsuntos!I10/NºAsuntos!G10)-Datos!BE10)/Datos!BE10," - ")</f>
        <v>-0.45214285714285724</v>
      </c>
      <c r="J10" s="461">
        <f>IF(ISNUMBER((('Resol  Asuntos'!D10/NºAsuntos!G10)-Datos!BF10)/Datos!BF10),(('Resol  Asuntos'!D10/NºAsuntos!G10)-Datos!BF10)/Datos!BF10," - ")</f>
        <v>-0.2482993197278911</v>
      </c>
      <c r="K10" s="462">
        <f>IF(ISNUMBER((((NºAsuntos!C10+NºAsuntos!E10)/NºAsuntos!G10)-Datos!BG10)/Datos!BG10),(((NºAsuntos!C10+NºAsuntos!E10)/NºAsuntos!G10)-Datos!BG10)/Datos!BG10," - ")</f>
        <v>-0.19033101045296172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0.22721088435374151</v>
      </c>
      <c r="C12" s="456">
        <f>IF(ISNUMBER(
   IF(J_V="SI",(Datos!J12-Datos!T12)/Datos!T12,(Datos!J12+Datos!Z12-(Datos!T12+Datos!AH12))/(Datos!T12+Datos!AH12))
     ),IF(J_V="SI",(Datos!J12-Datos!T12)/Datos!T12,(Datos!J12+Datos!Z12-(Datos!T12+Datos!AH12))/(Datos!T12+Datos!AH12))," - ")</f>
        <v>0.2072572038420491</v>
      </c>
      <c r="D12" s="456">
        <f>IF(ISNUMBER(
   IF(J_V="SI",(Datos!K12-Datos!U12)/Datos!U12,(Datos!K12+Datos!AA12-(Datos!U12+Datos!AI12))/(Datos!U12+Datos!AI12))
     ),IF(J_V="SI",(Datos!K12-Datos!U12)/Datos!U12,(Datos!K12+Datos!AA12-(Datos!U12+Datos!AI12))/(Datos!U12+Datos!AI12))," - ")</f>
        <v>8.6206896551724144E-2</v>
      </c>
      <c r="E12" s="456">
        <f>IF(ISNUMBER(
   IF(J_V="SI",(Datos!L12-Datos!V12)/Datos!V12,(Datos!L12+Datos!AB12-(Datos!V12+Datos!AJ12))/(Datos!V12+Datos!AJ12))
     ),IF(J_V="SI",(Datos!L12-Datos!V12)/Datos!V12,(Datos!L12+Datos!AB12-(Datos!V12+Datos!AJ12))/(Datos!V12+Datos!AJ12))," - ")</f>
        <v>0.41389504804138949</v>
      </c>
      <c r="F12" s="456">
        <f>IF(ISNUMBER((Datos!M12-Datos!W12)/Datos!W12),(Datos!M12-Datos!W12)/Datos!W12," - ")</f>
        <v>0.1433778857837181</v>
      </c>
      <c r="G12" s="457">
        <f>IF(ISNUMBER((Datos!N12-Datos!X12)/Datos!X12),(Datos!N12-Datos!X12)/Datos!X12," - ")</f>
        <v>0.10868461147790756</v>
      </c>
      <c r="H12" s="455">
        <f>IF(ISNUMBER(((NºAsuntos!G12/NºAsuntos!E12)-Datos!BD12)/Datos!BD12),((NºAsuntos!G12/NºAsuntos!E12)-Datos!BD12)/Datos!BD12," - ")</f>
        <v>-0.10026886309320586</v>
      </c>
      <c r="I12" s="456">
        <f>IF(ISNUMBER(((NºAsuntos!I12/NºAsuntos!G12)-Datos!BE12)/Datos!BE12),((NºAsuntos!I12/NºAsuntos!G12)-Datos!BE12)/Datos!BE12," - ")</f>
        <v>0.30168115533969209</v>
      </c>
      <c r="J12" s="461">
        <f>IF(ISNUMBER((('Resol  Asuntos'!D12/NºAsuntos!G12)-Datos!BF12)/Datos!BF12),(('Resol  Asuntos'!D12/NºAsuntos!G12)-Datos!BF12)/Datos!BF12," - ")</f>
        <v>-0.56002160471434215</v>
      </c>
      <c r="K12" s="462">
        <f>IF(ISNUMBER((((NºAsuntos!C12+NºAsuntos!E12)/NºAsuntos!G12)-Datos!BG12)/Datos!BG12),(((NºAsuntos!C12+NºAsuntos!E12)/NºAsuntos!G12)-Datos!BG12)/Datos!BG12," - ")</f>
        <v>0.11732209090699654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0.23753929052537046</v>
      </c>
      <c r="C13" s="855">
        <f>IF(ISNUMBER(
   IF(J_V="SI",(Datos!J13-Datos!T13)/Datos!T13,(Datos!J13+Datos!Z13-(Datos!T13+Datos!AH13))/(Datos!T13+Datos!AH13))
     ),IF(J_V="SI",(Datos!J13-Datos!T13)/Datos!T13,(Datos!J13+Datos!Z13-(Datos!T13+Datos!AH13))/(Datos!T13+Datos!AH13))," - ")</f>
        <v>0.21159114857744996</v>
      </c>
      <c r="D13" s="855">
        <f>IF(ISNUMBER(
   IF(J_V="SI",(Datos!K13-Datos!U13)/Datos!U13,(Datos!K13+Datos!AA13-(Datos!U13+Datos!AI13))/(Datos!U13+Datos!AI13))
     ),IF(J_V="SI",(Datos!K13-Datos!U13)/Datos!U13,(Datos!K13+Datos!AA13-(Datos!U13+Datos!AI13))/(Datos!U13+Datos!AI13))," - ")</f>
        <v>9.6085409252669035E-2</v>
      </c>
      <c r="E13" s="855">
        <f>IF(ISNUMBER(
   IF(J_V="SI",(Datos!L13-Datos!V13)/Datos!V13,(Datos!L13+Datos!AB13-(Datos!V13+Datos!AJ13))/(Datos!V13+Datos!AJ13))
     ),IF(J_V="SI",(Datos!L13-Datos!V13)/Datos!V13,(Datos!L13+Datos!AB13-(Datos!V13+Datos!AJ13))/(Datos!V13+Datos!AJ13))," - ")</f>
        <v>0.40965166908563133</v>
      </c>
      <c r="F13" s="856">
        <f>IF(ISNUMBER((Datos!M13-Datos!W13)/Datos!W13),(Datos!M13-Datos!W13)/Datos!W13," - ")</f>
        <v>0.15521327014218009</v>
      </c>
      <c r="G13" s="857">
        <f>IF(ISNUMBER((Datos!N13-Datos!X13)/Datos!X13),(Datos!N13-Datos!X13)/Datos!X13," - ")</f>
        <v>0.11004543160020192</v>
      </c>
      <c r="H13" s="857">
        <f>IF(ISNUMBER(((NºAsuntos!G13/NºAsuntos!E13)-Datos!BD13)/Datos!BD13),((NºAsuntos!G13/NºAsuntos!E13)-Datos!BD13)/Datos!BD13," - ")</f>
        <v>-9.533392469926695E-2</v>
      </c>
      <c r="I13" s="857">
        <f>IF(ISNUMBER(((NºAsuntos!I13/NºAsuntos!G13)-Datos!BE13)/Datos!BE13),((NºAsuntos!I13/NºAsuntos!G13)-Datos!BE13)/Datos!BE13," - ")</f>
        <v>0.28607830848396892</v>
      </c>
      <c r="J13" s="857">
        <f>IF(ISNUMBER((('Resol  Asuntos'!D13/NºAsuntos!G13)-Datos!BF13)/Datos!BF13),(('Resol  Asuntos'!D13/NºAsuntos!G13)-Datos!BF13)/Datos!BF13," - ")</f>
        <v>-0.55300039156823078</v>
      </c>
      <c r="K13" s="857">
        <f>IF(ISNUMBER((((NºAsuntos!C13+NºAsuntos!E13)/NºAsuntos!G13)-Datos!BG13)/Datos!BG13),(((NºAsuntos!C13+NºAsuntos!E13)/NºAsuntos!G13)-Datos!BG13)/Datos!BG13," - ")</f>
        <v>0.11294202785166639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8.6500655307994764E-2</v>
      </c>
      <c r="C16" s="456">
        <f>IF(ISNUMBER(
   IF(D_I="SI",(Datos!J16-Datos!T16)/Datos!T16,(Datos!J16+Datos!AD16-(Datos!T16+Datos!AL16))/(Datos!T16+Datos!AL16))
     ),IF(D_I="SI",(Datos!J16-Datos!T16)/Datos!T16,(Datos!J16+Datos!AD16-(Datos!T16+Datos!AL16))/(Datos!T16+Datos!AL16))," - ")</f>
        <v>-1.084850833010461E-2</v>
      </c>
      <c r="D16" s="456">
        <f>IF(ISNUMBER(
   IF(D_I="SI",(Datos!K16-Datos!U16)/Datos!U16,(Datos!K16+Datos!AE16-(Datos!U16+Datos!AM16))/(Datos!U16+Datos!AM16))
     ),IF(D_I="SI",(Datos!K16-Datos!U16)/Datos!U16,(Datos!K16+Datos!AE16-(Datos!U16+Datos!AM16))/(Datos!U16+Datos!AM16))," - ")</f>
        <v>-4.4353810859036454E-2</v>
      </c>
      <c r="E16" s="456">
        <f>IF(ISNUMBER(
   IF(D_I="SI",(Datos!L16-Datos!V16)/Datos!V16,(Datos!L16+Datos!AF16-(Datos!V16+Datos!AN16))/(Datos!V16+Datos!AN16))
     ),IF(D_I="SI",(Datos!L16-Datos!V16)/Datos!V16,(Datos!L16+Datos!AF16-(Datos!V16+Datos!AN16))/(Datos!V16+Datos!AN16))," - ")</f>
        <v>0.10675512665862485</v>
      </c>
      <c r="F16" s="456">
        <f>IF(ISNUMBER((Datos!M16-Datos!W16)/Datos!W16),(Datos!M16-Datos!W16)/Datos!W16," - ")</f>
        <v>3.2171581769436998E-2</v>
      </c>
      <c r="G16" s="457">
        <f>IF(ISNUMBER((Datos!N16-Datos!X16)/Datos!X16),(Datos!N16-Datos!X16)/Datos!X16," - ")</f>
        <v>-6.3046972673691734E-2</v>
      </c>
      <c r="H16" s="455">
        <f>IF(ISNUMBER(((NºAsuntos!G16/NºAsuntos!E16)-Datos!BD16)/Datos!BD16),((NºAsuntos!G16/NºAsuntos!E16)-Datos!BD16)/Datos!BD16," - ")</f>
        <v>-3.3872771573510693E-2</v>
      </c>
      <c r="I16" s="456">
        <f>IF(ISNUMBER(((NºAsuntos!I16/NºAsuntos!G16)-Datos!BE16)/Datos!BE16),((NºAsuntos!I16/NºAsuntos!G16)-Datos!BE16)/Datos!BE16," - ")</f>
        <v>0.1581222624384597</v>
      </c>
      <c r="J16" s="461">
        <f>IF(ISNUMBER((('Resol  Asuntos'!D16/NºAsuntos!G16)-Datos!BF16)/Datos!BF16),(('Resol  Asuntos'!D16/NºAsuntos!G16)-Datos!BF16)/Datos!BF16," - ")</f>
        <v>8.0077117973193238E-2</v>
      </c>
      <c r="K16" s="462">
        <f>IF(ISNUMBER((((NºAsuntos!C16+NºAsuntos!E16)/NºAsuntos!G16)-Datos!BG16)/Datos!BG16),(((NºAsuntos!C16+NºAsuntos!E16)/NºAsuntos!G16)-Datos!BG16)/Datos!BG16," - ")</f>
        <v>5.1831277710305872E-2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8.7591240875912413E-2</v>
      </c>
      <c r="C17" s="456">
        <f>IF(ISNUMBER(
   IF(D_I="SI",(Datos!J17-Datos!T17)/Datos!T17,(Datos!J17+Datos!AD17-(Datos!T17+Datos!AL17))/(Datos!T17+Datos!AL17))
     ),IF(D_I="SI",(Datos!J17-Datos!T17)/Datos!T17,(Datos!J17+Datos!AD17-(Datos!T17+Datos!AL17))/(Datos!T17+Datos!AL17))," - ")</f>
        <v>-0.62573363431151241</v>
      </c>
      <c r="D17" s="456">
        <f>IF(ISNUMBER(
   IF(D_I="SI",(Datos!K17-Datos!U17)/Datos!U17,(Datos!K17+Datos!AE17-(Datos!U17+Datos!AM17))/(Datos!U17+Datos!AM17))
     ),IF(D_I="SI",(Datos!K17-Datos!U17)/Datos!U17,(Datos!K17+Datos!AE17-(Datos!U17+Datos!AM17))/(Datos!U17+Datos!AM17))," - ")</f>
        <v>-0.65126610395379836</v>
      </c>
      <c r="E17" s="456">
        <f>IF(ISNUMBER(
   IF(D_I="SI",(Datos!L17-Datos!V17)/Datos!V17,(Datos!L17+Datos!AF17-(Datos!V17+Datos!AN17))/(Datos!V17+Datos!AN17))
     ),IF(D_I="SI",(Datos!L17-Datos!V17)/Datos!V17,(Datos!L17+Datos!AF17-(Datos!V17+Datos!AN17))/(Datos!V17+Datos!AN17))," - ")</f>
        <v>0.42281879194630873</v>
      </c>
      <c r="F17" s="456">
        <f>IF(ISNUMBER((Datos!M17-Datos!W17)/Datos!W17),(Datos!M17-Datos!W17)/Datos!W17," - ")</f>
        <v>7.6923076923076927E-2</v>
      </c>
      <c r="G17" s="457">
        <f>IF(ISNUMBER((Datos!N17-Datos!X17)/Datos!X17),(Datos!N17-Datos!X17)/Datos!X17," - ")</f>
        <v>-0.81725067385444738</v>
      </c>
      <c r="H17" s="455">
        <f>IF(ISNUMBER(((NºAsuntos!G17/NºAsuntos!E17)-Datos!BD17)/Datos!BD17),((NºAsuntos!G17/NºAsuntos!E17)-Datos!BD17)/Datos!BD17," - ")</f>
        <v>-6.8220048561716942E-2</v>
      </c>
      <c r="I17" s="456">
        <f>IF(ISNUMBER(((NºAsuntos!I17/NºAsuntos!G17)-Datos!BE17)/Datos!BE17),((NºAsuntos!I17/NºAsuntos!G17)-Datos!BE17)/Datos!BE17," - ")</f>
        <v>3.0799555422562306</v>
      </c>
      <c r="J17" s="461">
        <f>IF(ISNUMBER((('Resol  Asuntos'!D17/NºAsuntos!G17)-Datos!BF17)/Datos!BF17),(('Resol  Asuntos'!D17/NºAsuntos!G17)-Datos!BF17)/Datos!BF17," - ")</f>
        <v>2.0880940715335621</v>
      </c>
      <c r="K17" s="462">
        <f>IF(ISNUMBER((((NºAsuntos!C17+NºAsuntos!E17)/NºAsuntos!G17)-Datos!BG17)/Datos!BG17),(((NºAsuntos!C17+NºAsuntos!E17)/NºAsuntos!G17)-Datos!BG17)/Datos!BG17," - ")</f>
        <v>0.1923599376056154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8.6590499098015639E-2</v>
      </c>
      <c r="C18" s="855">
        <f>IF(ISNUMBER(
   IF(Criterios!B14="SI",(Datos!J18-Datos!T18)/Datos!T18,(Datos!J18+Datos!AD18-(Datos!T18+Datos!AL18))/(Datos!T18+Datos!AL18))
     ),IF(Criterios!B14="SI",(Datos!J18-Datos!T18)/Datos!T18,(Datos!J18+Datos!AD18-(Datos!T18+Datos!AL18))/(Datos!T18+Datos!AL18))," - ")</f>
        <v>-0.14762000401687086</v>
      </c>
      <c r="D18" s="855">
        <f>IF(ISNUMBER(
   IF(Criterios!B14="SI",(Datos!K18-Datos!U18)/Datos!U18,(Datos!K18+Datos!AE18-(Datos!U18+Datos!AM18))/(Datos!U18+Datos!AM18))
     ),IF(Criterios!B14="SI",(Datos!K18-Datos!U18)/Datos!U18,(Datos!K18+Datos!AE18-(Datos!U18+Datos!AM18))/(Datos!U18+Datos!AM18))," - ")</f>
        <v>-0.17965732395761116</v>
      </c>
      <c r="E18" s="855">
        <f>IF(ISNUMBER(
   IF(Criterios!B14="SI",(Datos!L18-Datos!V18)/Datos!V18,(Datos!L18+Datos!AF18-(Datos!V18+Datos!AN18))/(Datos!V18+Datos!AN18))
     ),IF(Criterios!B14="SI",(Datos!L18-Datos!V18)/Datos!V18,(Datos!L18+Datos!AF18-(Datos!V18+Datos!AN18))/(Datos!V18+Datos!AN18))," - ")</f>
        <v>0.13281682346430548</v>
      </c>
      <c r="F18" s="856">
        <f>IF(ISNUMBER((Datos!M18-Datos!W18)/Datos!W18),(Datos!M18-Datos!W18)/Datos!W18," - ")</f>
        <v>4.0437158469945354E-2</v>
      </c>
      <c r="G18" s="857">
        <f>IF(ISNUMBER((Datos!N18-Datos!X18)/Datos!X18),(Datos!N18-Datos!X18)/Datos!X18," - ")</f>
        <v>-0.25073785886772204</v>
      </c>
      <c r="H18" s="857">
        <f>IF(ISNUMBER(((NºAsuntos!G18/NºAsuntos!E18)-Datos!BD18)/Datos!BD18),((NºAsuntos!G18/NºAsuntos!E18)-Datos!BD18)/Datos!BD18," - ")</f>
        <v>-3.7585724784388812E-2</v>
      </c>
      <c r="I18" s="857">
        <f>IF(ISNUMBER(((NºAsuntos!I18/NºAsuntos!G18)-Datos!BE18)/Datos!BE18),((NºAsuntos!I18/NºAsuntos!G18)-Datos!BE18)/Datos!BE18," - ")</f>
        <v>0.38090685337668628</v>
      </c>
      <c r="J18" s="857">
        <f>IF(ISNUMBER((('Resol  Asuntos'!D18/NºAsuntos!G18)-Datos!BF18)/Datos!BF18),(('Resol  Asuntos'!D18/NºAsuntos!G18)-Datos!BF18)/Datos!BF18," - ")</f>
        <v>0.26829578523132175</v>
      </c>
      <c r="K18" s="857">
        <f>IF(ISNUMBER((((NºAsuntos!C18+NºAsuntos!E18)/NºAsuntos!G18)-Datos!BG18)/Datos!BG18),(((NºAsuntos!C18+NºAsuntos!E18)/NºAsuntos!G18)-Datos!BG18)/Datos!BG18," - ")</f>
        <v>7.9909954983621259E-2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0.1730077120822622</v>
      </c>
      <c r="C19" s="802">
        <f>IF(ISNUMBER(
   IF(J_V="SI",(Datos!J19-Datos!T19)/Datos!T19,(Datos!J19+Datos!Z19-(Datos!T19+Datos!AH19))/(Datos!T19+Datos!AH19))
     ),IF(J_V="SI",(Datos!J19-Datos!T19)/Datos!T19,(Datos!J19+Datos!Z19-(Datos!T19+Datos!AH19))/(Datos!T19+Datos!AH19))," - ")</f>
        <v>-3.1694212065564852E-2</v>
      </c>
      <c r="D19" s="802">
        <f>IF(ISNUMBER(
   IF(J_V="SI",(Datos!K19-Datos!U19)/Datos!U19,(Datos!K19+Datos!AA19-(Datos!U19+Datos!AI19))/(Datos!U19+Datos!AI19))
     ),IF(J_V="SI",(Datos!K19-Datos!U19)/Datos!U19,(Datos!K19+Datos!AA19-(Datos!U19+Datos!AI19))/(Datos!U19+Datos!AI19))," - ")</f>
        <v>-9.8448854108440467E-2</v>
      </c>
      <c r="E19" s="802">
        <f>IF(ISNUMBER(
   IF(J_V="SI",(Datos!L19-Datos!V19)/Datos!V19,(Datos!L19+Datos!AB19-(Datos!V19+Datos!AJ19))/(Datos!V19+Datos!AJ19))
     ),IF(J_V="SI",(Datos!L19-Datos!V19)/Datos!V19,(Datos!L19+Datos!AB19-(Datos!V19+Datos!AJ19))/(Datos!V19+Datos!AJ19))," - ")</f>
        <v>0.30002191540653078</v>
      </c>
      <c r="F19" s="803">
        <f>IF(ISNUMBER((Datos!M19-Datos!W19)/Datos!W19),(Datos!M19-Datos!W19)/Datos!W19," - ")</f>
        <v>9.5508811824900508E-2</v>
      </c>
      <c r="G19" s="804">
        <f>IF(ISNUMBER((Datos!N19-Datos!X19)/Datos!X19),(Datos!N19-Datos!X19)/Datos!X19," - ")</f>
        <v>-0.17498675145733969</v>
      </c>
      <c r="H19" s="805">
        <f>IF(ISNUMBER((Tasas!B19-Datos!BD19)/Datos!BD19),(Tasas!B19-Datos!BD19)/Datos!BD19," - ")</f>
        <v>-6.8939629272768171E-2</v>
      </c>
      <c r="I19" s="806">
        <f>IF(ISNUMBER((Tasas!C19-Datos!BE19)/Datos!BE19),(Tasas!C19-Datos!BE19)/Datos!BE19," - ")</f>
        <v>0.44198354284261543</v>
      </c>
      <c r="J19" s="807">
        <f>IF(ISNUMBER((Tasas!D19-Datos!BF19)/Datos!BF19),(Tasas!D19-Datos!BF19)/Datos!BF19," - ")</f>
        <v>-0.26422469363953976</v>
      </c>
      <c r="K19" s="807">
        <f>IF(ISNUMBER((Tasas!E19-Datos!BG19)/Datos!BG19),(Tasas!E19-Datos!BG19)/Datos!BG19," - ")</f>
        <v>0.12154837447459886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Xypmj/VQx4W1EQW1giiKMilGT3VUq5PJ23/1nN+jX3TE752KuFkQLm6gg/QDCLxByu/ZxAZYsd9NUD0lOTLVw==" saltValue="J0LLDl6NMK0CWu/sQcSrb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GRANADA</v>
      </c>
    </row>
    <row r="4" spans="1:7" ht="11.25" customHeight="1" thickBot="1">
      <c r="B4" s="391" t="str">
        <f>Criterios!A11 &amp;"  "&amp;Criterios!B11</f>
        <v>Resumenes por Partidos Judiciales  MOTRIL</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0.90322580645161288</v>
      </c>
      <c r="C10" s="443">
        <f>IF(ISNUMBER(NºAsuntos!I10/NºAsuntos!G10),NºAsuntos!I10/NºAsuntos!G10," - ")</f>
        <v>0.70238095238095233</v>
      </c>
      <c r="D10" s="444">
        <f>IF(ISNUMBER('Resol  Asuntos'!D10/NºAsuntos!G10),'Resol  Asuntos'!D10/NºAsuntos!G10," - ")</f>
        <v>0.40476190476190477</v>
      </c>
      <c r="E10" s="445">
        <f>IF(ISNUMBER((NºAsuntos!C10+NºAsuntos!E10)/NºAsuntos!G10),(NºAsuntos!C10+NºAsuntos!E10)/NºAsuntos!G10," - ")</f>
        <v>1.7023809523809523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0.80198019801980203</v>
      </c>
      <c r="C12" s="443">
        <f>IF(ISNUMBER(NºAsuntos!I12/NºAsuntos!G12),NºAsuntos!I12/NºAsuntos!G12," - ")</f>
        <v>0.84347442680776019</v>
      </c>
      <c r="D12" s="444">
        <f>IF(ISNUMBER('Resol  Asuntos'!D12/NºAsuntos!G12),'Resol  Asuntos'!D12/NºAsuntos!G12," - ")</f>
        <v>0.20745149911816579</v>
      </c>
      <c r="E12" s="445">
        <f>IF(ISNUMBER((NºAsuntos!C12+NºAsuntos!E12)/NºAsuntos!G12),(NºAsuntos!C12+NºAsuntos!E12)/NºAsuntos!G12," - ")</f>
        <v>1.8434744268077601</v>
      </c>
      <c r="G12" s="463"/>
    </row>
    <row r="13" spans="1:7" ht="14.25" thickTop="1" thickBot="1">
      <c r="A13" s="848" t="str">
        <f>Datos!A13</f>
        <v>TOTAL</v>
      </c>
      <c r="B13" s="858">
        <f>IF(ISNUMBER(NºAsuntos!G13/NºAsuntos!E13),NºAsuntos!G13/NºAsuntos!E13," - ")</f>
        <v>0.80361802052530873</v>
      </c>
      <c r="C13" s="859">
        <f>IF(ISNUMBER(NºAsuntos!I13/NºAsuntos!G13),NºAsuntos!I13/NºAsuntos!G13," - ")</f>
        <v>0.84090909090909094</v>
      </c>
      <c r="D13" s="860">
        <f>IF(ISNUMBER('Resol  Asuntos'!D13/NºAsuntos!G13),'Resol  Asuntos'!D13/NºAsuntos!G13," - ")</f>
        <v>0.21103896103896103</v>
      </c>
      <c r="E13" s="861">
        <f>IF(ISNUMBER((NºAsuntos!C13+NºAsuntos!E13)/NºAsuntos!G13),(NºAsuntos!C13+NºAsuntos!E13)/NºAsuntos!G13," - ")</f>
        <v>1.8409090909090908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0.97897897897897901</v>
      </c>
      <c r="C16" s="443">
        <f>IF(ISNUMBER(NºAsuntos!I16/NºAsuntos!G16),NºAsuntos!I16/NºAsuntos!G16," - ")</f>
        <v>0.24473192851427047</v>
      </c>
      <c r="D16" s="444">
        <f>IF(ISNUMBER('Resol  Asuntos'!D16/NºAsuntos!G16),'Resol  Asuntos'!D16/NºAsuntos!G16," - ")</f>
        <v>0.10269405174713257</v>
      </c>
      <c r="E16" s="445">
        <f>IF(ISNUMBER((NºAsuntos!C16+NºAsuntos!E16)/NºAsuntos!G16),(NºAsuntos!C16+NºAsuntos!E16)/NºAsuntos!G16," - ")</f>
        <v>1.242598026140304</v>
      </c>
      <c r="G16" s="463"/>
    </row>
    <row r="17" spans="1:7" ht="13.5" thickBot="1">
      <c r="A17" s="402" t="str">
        <f>Datos!A17</f>
        <v>Jdos. Violencia contra la mujer</v>
      </c>
      <c r="B17" s="442">
        <f>IF(ISNUMBER(NºAsuntos!G17/NºAsuntos!E17),NºAsuntos!G17/NºAsuntos!E17," - ")</f>
        <v>0.94692400482509043</v>
      </c>
      <c r="C17" s="443">
        <f>IF(ISNUMBER(NºAsuntos!I17/NºAsuntos!G17),NºAsuntos!I17/NºAsuntos!G17," - ")</f>
        <v>0.27006369426751592</v>
      </c>
      <c r="D17" s="444">
        <f>IF(ISNUMBER('Resol  Asuntos'!D17/NºAsuntos!G17),'Resol  Asuntos'!D17/NºAsuntos!G17," - ")</f>
        <v>0.23184713375796179</v>
      </c>
      <c r="E17" s="445">
        <f>IF(ISNUMBER((NºAsuntos!C17+NºAsuntos!E17)/NºAsuntos!G17),(NºAsuntos!C17+NºAsuntos!E17)/NºAsuntos!G17," - ")</f>
        <v>1.2458598726114649</v>
      </c>
      <c r="G17" s="463"/>
    </row>
    <row r="18" spans="1:7" ht="14.25" thickTop="1" thickBot="1">
      <c r="A18" s="848" t="str">
        <f>Datos!A18</f>
        <v>TOTAL</v>
      </c>
      <c r="B18" s="858">
        <f>IF(ISNUMBER(NºAsuntos!G18/NºAsuntos!E18),NºAsuntos!G18/NºAsuntos!E18," - ")</f>
        <v>0.97584825636192274</v>
      </c>
      <c r="C18" s="859">
        <f>IF(ISNUMBER(NºAsuntos!I18/NºAsuntos!G18),NºAsuntos!I18/NºAsuntos!G18," - ")</f>
        <v>0.24713268139562961</v>
      </c>
      <c r="D18" s="862">
        <f>IF(ISNUMBER('Resol  Asuntos'!D18/NºAsuntos!G18),'Resol  Asuntos'!D18/NºAsuntos!G18," - ")</f>
        <v>0.11493420258360497</v>
      </c>
      <c r="E18" s="861">
        <f>IF(ISNUMBER((NºAsuntos!C18+NºAsuntos!E18)/NºAsuntos!G18),(NºAsuntos!C18+NºAsuntos!E18)/NºAsuntos!G18," - ")</f>
        <v>1.2429071592418206</v>
      </c>
      <c r="G18" s="463"/>
    </row>
    <row r="19" spans="1:7" ht="15.75" customHeight="1" thickTop="1" thickBot="1">
      <c r="A19" s="793" t="str">
        <f>Datos!A19</f>
        <v>TOTAL JURISDICCIONES</v>
      </c>
      <c r="B19" s="808">
        <f>IF(ISNUMBER(NºAsuntos!G19/NºAsuntos!E19),NºAsuntos!G19/NºAsuntos!E19," - ")</f>
        <v>0.90630048465266555</v>
      </c>
      <c r="C19" s="809">
        <f>IF(ISNUMBER(NºAsuntos!I19/NºAsuntos!G19),NºAsuntos!I19/NºAsuntos!G19," - ")</f>
        <v>0.45973804541579477</v>
      </c>
      <c r="D19" s="810">
        <f>IF(ISNUMBER('Resol  Asuntos'!D19/NºAsuntos!G19),'Resol  Asuntos'!D19/NºAsuntos!G19," - ")</f>
        <v>0.14934511353948693</v>
      </c>
      <c r="E19" s="811">
        <f>IF(ISNUMBER((NºAsuntos!C19+NºAsuntos!E19)/NºAsuntos!G19),(NºAsuntos!C19+NºAsuntos!E19)/NºAsuntos!G19," - ")</f>
        <v>1.4570254979462141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lljcxMXcR8scDLSkIlQElJJyU7wle32xhRa2zZtOLyYyqGw2+b1y1Dc/Zfxqc0s4JtO4CxZm0ZD7HSkDYv5iQ==" saltValue="isIqf5bde8RMSLtCa46Dq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GRANADA</v>
      </c>
      <c r="N2" s="262" t="str">
        <f>Criterios!A11 &amp;"  "&amp;Criterios!B11</f>
        <v>Resumenes por Partidos Judiciales  MOTRIL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50</v>
      </c>
      <c r="G10" s="333">
        <f>IF(ISNUMBER(Datos!I10),Datos!I10," - ")</f>
        <v>50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84</v>
      </c>
      <c r="X10" s="226">
        <f>IF(ISNUMBER(Datos!Q10),Datos!Q10," - ")</f>
        <v>29</v>
      </c>
      <c r="Y10" s="334">
        <f t="shared" ref="Y10:Y12" si="0">SUM(W10:X10)</f>
        <v>113</v>
      </c>
      <c r="Z10" s="335" t="str">
        <f>IF(ISNUMBER(Datos!CC10),Datos!CC10," - ")</f>
        <v xml:space="preserve"> - </v>
      </c>
      <c r="AA10" s="332">
        <f>IF(ISNUMBER(Datos!L10),Datos!L10,"-")</f>
        <v>59</v>
      </c>
      <c r="AB10" s="334">
        <f>IF(ISNUMBER(Datos!R10),Datos!R10," - ")</f>
        <v>17</v>
      </c>
      <c r="AC10" s="334">
        <f t="shared" ref="AC10:AC12" si="1">IF(ISNUMBER(AA10+AB10),AA10+AB10," - ")</f>
        <v>76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34</v>
      </c>
      <c r="AJ10" s="231" t="str">
        <f>IF(ISNUMBER(Datos!BW10),Datos!BW10," - ")</f>
        <v xml:space="preserve"> - </v>
      </c>
      <c r="AK10" s="232" t="str">
        <f>IF(ISNUMBER(Datos!BX10),Datos!BX10," - ")</f>
        <v xml:space="preserve"> - </v>
      </c>
      <c r="AL10" s="243">
        <f>IF(ISNUMBER(NºAsuntos!G10/NºAsuntos!E10),NºAsuntos!G10/NºAsuntos!E10," - ")</f>
        <v>0.90322580645161288</v>
      </c>
      <c r="AM10" s="260">
        <f>IF(ISNUMBER(((NºAsuntos!I10/NºAsuntos!G10)*11)/factor_trimestre),((NºAsuntos!I10/NºAsuntos!G10)*11)/factor_trimestre," - ")</f>
        <v>7.7261904761904754</v>
      </c>
      <c r="AN10" s="244">
        <f>IF(ISNUMBER('Resol  Asuntos'!D10/NºAsuntos!G10),'Resol  Asuntos'!D10/NºAsuntos!G10," - ")</f>
        <v>0.40476190476190477</v>
      </c>
      <c r="AO10" s="245">
        <f>IF(ISNUMBER((NºAsuntos!C10+NºAsuntos!E10)/NºAsuntos!G10),(NºAsuntos!C10+NºAsuntos!E10)/NºAsuntos!G10," - ")</f>
        <v>1.7023809523809523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1151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1943</v>
      </c>
      <c r="Y12" s="334">
        <f t="shared" si="0"/>
        <v>1943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3893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941</v>
      </c>
      <c r="AJ12" s="229" t="str">
        <f>IF(ISNUMBER(Datos!BW12),Datos!BW12," - ")</f>
        <v xml:space="preserve"> - </v>
      </c>
      <c r="AK12" s="228" t="str">
        <f>IF(ISNUMBER(Datos!BX12),Datos!BX12," - ")</f>
        <v xml:space="preserve"> - </v>
      </c>
      <c r="AL12" s="243">
        <f>IF(ISNUMBER(NºAsuntos!G12/NºAsuntos!E12),NºAsuntos!G12/NºAsuntos!E12," - ")</f>
        <v>0.80198019801980203</v>
      </c>
      <c r="AM12" s="260">
        <f>IF(ISNUMBER(((NºAsuntos!I12/NºAsuntos!G12)*11)/factor_trimestre),((NºAsuntos!I12/NºAsuntos!G12)*11)/factor_trimestre," - ")</f>
        <v>9.2782186948853624</v>
      </c>
      <c r="AN12" s="244">
        <f>IF(ISNUMBER('Resol  Asuntos'!D12/NºAsuntos!G12),'Resol  Asuntos'!D12/NºAsuntos!G12," - ")</f>
        <v>0.20745149911816579</v>
      </c>
      <c r="AO12" s="245">
        <f>IF(ISNUMBER((NºAsuntos!C12+NºAsuntos!E12)/NºAsuntos!G12),(NºAsuntos!C12+NºAsuntos!E12)/NºAsuntos!G12," - ")</f>
        <v>1.8434744268077601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50</v>
      </c>
      <c r="G13" s="866">
        <f t="shared" si="3"/>
        <v>50</v>
      </c>
      <c r="H13" s="865">
        <f t="shared" si="3"/>
        <v>0</v>
      </c>
      <c r="I13" s="867">
        <f t="shared" si="3"/>
        <v>0</v>
      </c>
      <c r="J13" s="867">
        <f t="shared" si="3"/>
        <v>0</v>
      </c>
      <c r="K13" s="867">
        <f t="shared" si="3"/>
        <v>0</v>
      </c>
      <c r="L13" s="867">
        <f t="shared" si="3"/>
        <v>1183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84</v>
      </c>
      <c r="X13" s="867">
        <f t="shared" si="4"/>
        <v>1972</v>
      </c>
      <c r="Y13" s="868">
        <f t="shared" si="4"/>
        <v>2056</v>
      </c>
      <c r="Z13" s="868">
        <f t="shared" si="4"/>
        <v>0</v>
      </c>
      <c r="AA13" s="868">
        <f t="shared" si="4"/>
        <v>59</v>
      </c>
      <c r="AB13" s="868">
        <f t="shared" si="4"/>
        <v>3910</v>
      </c>
      <c r="AC13" s="868">
        <f t="shared" si="4"/>
        <v>76</v>
      </c>
      <c r="AD13" s="868">
        <f t="shared" si="4"/>
        <v>0</v>
      </c>
      <c r="AE13" s="872">
        <f t="shared" si="4"/>
        <v>0</v>
      </c>
      <c r="AF13" s="865">
        <f t="shared" si="4"/>
        <v>0</v>
      </c>
      <c r="AG13" s="873">
        <f t="shared" si="4"/>
        <v>0</v>
      </c>
      <c r="AH13" s="870">
        <f t="shared" si="4"/>
        <v>0</v>
      </c>
      <c r="AI13" s="865">
        <f t="shared" si="4"/>
        <v>975</v>
      </c>
      <c r="AJ13" s="867">
        <f t="shared" si="4"/>
        <v>0</v>
      </c>
      <c r="AK13" s="870">
        <f>SUBTOTAL(9,AK9:AK12)</f>
        <v>0</v>
      </c>
      <c r="AL13" s="874">
        <f>IF(ISNUMBER(NºAsuntos!G13/NºAsuntos!E13),NºAsuntos!G13/NºAsuntos!E13," - ")</f>
        <v>0.80361802052530873</v>
      </c>
      <c r="AM13" s="874">
        <f>IF(ISNUMBER(((NºAsuntos!I13/NºAsuntos!G13)*11)/factor_trimestre),((NºAsuntos!I13/NºAsuntos!G13)*11)/factor_trimestre," - ")</f>
        <v>9.25</v>
      </c>
      <c r="AN13" s="875">
        <f>IF(ISNUMBER('Resol  Asuntos'!D13/NºAsuntos!G13),'Resol  Asuntos'!D13/NºAsuntos!G13," - ")</f>
        <v>0.21103896103896103</v>
      </c>
      <c r="AO13" s="876">
        <f>IF(ISNUMBER((NºAsuntos!C13+NºAsuntos!E13)/NºAsuntos!G13),(NºAsuntos!C13+NºAsuntos!E13)/NºAsuntos!G13," - ")</f>
        <v>1.8409090909090908</v>
      </c>
      <c r="AP13" s="877" t="str">
        <f t="shared" si="2"/>
        <v xml:space="preserve"> - </v>
      </c>
      <c r="AQ13" s="877">
        <f>IF(ISNUMBER((H13-W13+K13)/(F13)),(H13-W13+K13)/(F13)," - ")</f>
        <v>-1.68</v>
      </c>
      <c r="AR13" s="878">
        <f>IF(ISNUMBER((Datos!P13-Datos!Q13)/(Datos!R13-Datos!P13+Datos!Q13)),(Datos!P13-Datos!Q13)/(Datos!R13-Datos!P13+Datos!Q13)," - ")</f>
        <v>-0.16790806554586082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1674</v>
      </c>
      <c r="G16" s="333">
        <f>IF(ISNUMBER(IF(D_I="SI",Datos!I16,Datos!I16+Datos!AC16)),IF(D_I="SI",Datos!I16,Datos!I16+Datos!AC16)," - ")</f>
        <v>1658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263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7498</v>
      </c>
      <c r="X16" s="226">
        <f>IF(ISNUMBER(Datos!Q16),Datos!Q16," - ")</f>
        <v>175</v>
      </c>
      <c r="Y16" s="334">
        <f t="shared" ref="Y16:Y17" si="7">SUM(W16:X16)</f>
        <v>7673</v>
      </c>
      <c r="Z16" s="335" t="str">
        <f>IF(ISNUMBER(Datos!CC16),Datos!CC16," - ")</f>
        <v xml:space="preserve"> - </v>
      </c>
      <c r="AA16" s="332">
        <f>IF(ISNUMBER(IF(D_I="SI",Datos!L16,Datos!L16+Datos!AF16)),IF(D_I="SI",Datos!L16,Datos!L16+Datos!AF16)," - ")</f>
        <v>1835</v>
      </c>
      <c r="AB16" s="334">
        <f>IF(ISNUMBER(Datos!R16),Datos!R16," - ")</f>
        <v>234</v>
      </c>
      <c r="AC16" s="334">
        <f t="shared" si="6"/>
        <v>2069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770</v>
      </c>
      <c r="AJ16" s="231" t="str">
        <f>IF(ISNUMBER(Datos!BW16),Datos!BW16," - ")</f>
        <v xml:space="preserve"> - </v>
      </c>
      <c r="AK16" s="232" t="str">
        <f>IF(ISNUMBER(Datos!BX16),Datos!BX16," - ")</f>
        <v xml:space="preserve"> - </v>
      </c>
      <c r="AL16" s="243">
        <f>IF(ISNUMBER(NºAsuntos!G16/NºAsuntos!E16),NºAsuntos!G16/NºAsuntos!E16," - ")</f>
        <v>0.97897897897897901</v>
      </c>
      <c r="AM16" s="260">
        <f>IF(ISNUMBER(((NºAsuntos!I16/NºAsuntos!G16)*11)/factor_trimestre),((NºAsuntos!I16/NºAsuntos!G16)*11)/factor_trimestre," - ")</f>
        <v>2.6920512136569754</v>
      </c>
      <c r="AN16" s="244">
        <f>IF(ISNUMBER('Resol  Asuntos'!D16/NºAsuntos!G16),'Resol  Asuntos'!D16/NºAsuntos!G16," - ")</f>
        <v>0.10269405174713257</v>
      </c>
      <c r="AO16" s="245">
        <f>IF(ISNUMBER((NºAsuntos!C16+NºAsuntos!E16)/NºAsuntos!G16),(NºAsuntos!C16+NºAsuntos!E16)/NºAsuntos!G16," - ")</f>
        <v>1.242598026140304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785</v>
      </c>
      <c r="X17" s="226">
        <f>IF(ISNUMBER(Datos!Q17),Datos!Q17," - ")</f>
        <v>18</v>
      </c>
      <c r="Y17" s="334">
        <f t="shared" si="7"/>
        <v>803</v>
      </c>
      <c r="Z17" s="335" t="str">
        <f>IF(ISNUMBER(Datos!CC17),Datos!CC17," - ")</f>
        <v xml:space="preserve"> - </v>
      </c>
      <c r="AA17" s="332">
        <f>IF(ISNUMBER(Datos!L17),Datos!L17,"-")</f>
        <v>212</v>
      </c>
      <c r="AB17" s="334">
        <f>IF(ISNUMBER(Datos!R17),Datos!R17," - ")</f>
        <v>7</v>
      </c>
      <c r="AC17" s="334">
        <f t="shared" si="6"/>
        <v>219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182</v>
      </c>
      <c r="AJ17" s="231" t="str">
        <f>IF(ISNUMBER(Datos!BW17),Datos!BW17," - ")</f>
        <v xml:space="preserve"> - </v>
      </c>
      <c r="AK17" s="232" t="str">
        <f>IF(ISNUMBER(Datos!BX17),Datos!BX17," - ")</f>
        <v xml:space="preserve"> - </v>
      </c>
      <c r="AL17" s="243">
        <f>IF(ISNUMBER(NºAsuntos!G17/NºAsuntos!E17),NºAsuntos!G17/NºAsuntos!E17," - ")</f>
        <v>0.94692400482509043</v>
      </c>
      <c r="AM17" s="260">
        <f>IF(ISNUMBER(((NºAsuntos!I17/NºAsuntos!G17)*11)/factor_trimestre),((NºAsuntos!I17/NºAsuntos!G17)*11)/factor_trimestre," - ")</f>
        <v>2.9707006369426749</v>
      </c>
      <c r="AN17" s="244">
        <f>IF(ISNUMBER('Resol  Asuntos'!D17/NºAsuntos!G17),'Resol  Asuntos'!D17/NºAsuntos!G17," - ")</f>
        <v>0.23184713375796179</v>
      </c>
      <c r="AO17" s="245">
        <f>IF(ISNUMBER((NºAsuntos!C17+NºAsuntos!E17)/NºAsuntos!G17),(NºAsuntos!C17+NºAsuntos!E17)/NºAsuntos!G17," - ")</f>
        <v>1.2458598726114649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1674</v>
      </c>
      <c r="G18" s="866">
        <f>SUBTOTAL(9,G15:G17)</f>
        <v>1807</v>
      </c>
      <c r="H18" s="865">
        <f t="shared" ref="H18:O18" si="10">SUBTOTAL(9,H14:H17)</f>
        <v>0</v>
      </c>
      <c r="I18" s="867">
        <f t="shared" si="10"/>
        <v>0</v>
      </c>
      <c r="J18" s="867">
        <f t="shared" si="10"/>
        <v>0</v>
      </c>
      <c r="K18" s="867">
        <f t="shared" si="10"/>
        <v>0</v>
      </c>
      <c r="L18" s="867">
        <f t="shared" si="10"/>
        <v>274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8283</v>
      </c>
      <c r="X18" s="867">
        <f t="shared" si="11"/>
        <v>193</v>
      </c>
      <c r="Y18" s="868">
        <f t="shared" si="11"/>
        <v>8476</v>
      </c>
      <c r="Z18" s="868">
        <f t="shared" si="11"/>
        <v>0</v>
      </c>
      <c r="AA18" s="868">
        <f t="shared" si="11"/>
        <v>2047</v>
      </c>
      <c r="AB18" s="868">
        <f t="shared" si="11"/>
        <v>241</v>
      </c>
      <c r="AC18" s="868">
        <f t="shared" si="11"/>
        <v>2288</v>
      </c>
      <c r="AD18" s="868">
        <f t="shared" si="11"/>
        <v>0</v>
      </c>
      <c r="AE18" s="872">
        <f t="shared" si="11"/>
        <v>0</v>
      </c>
      <c r="AF18" s="865">
        <f t="shared" si="11"/>
        <v>0</v>
      </c>
      <c r="AG18" s="873">
        <f t="shared" si="11"/>
        <v>0</v>
      </c>
      <c r="AH18" s="870">
        <f t="shared" si="11"/>
        <v>0</v>
      </c>
      <c r="AI18" s="865">
        <f t="shared" si="11"/>
        <v>952</v>
      </c>
      <c r="AJ18" s="867">
        <f t="shared" si="11"/>
        <v>0</v>
      </c>
      <c r="AK18" s="870">
        <f t="shared" si="11"/>
        <v>0</v>
      </c>
      <c r="AL18" s="874">
        <f>IF(ISNUMBER(NºAsuntos!G18/NºAsuntos!E18),NºAsuntos!G18/NºAsuntos!E18," - ")</f>
        <v>0.97584825636192274</v>
      </c>
      <c r="AM18" s="874">
        <f>IF(ISNUMBER(((NºAsuntos!I18/NºAsuntos!G18)*11)/factor_trimestre),((NºAsuntos!I18/NºAsuntos!G18)*11)/factor_trimestre," - ")</f>
        <v>2.7184594953519259</v>
      </c>
      <c r="AN18" s="875">
        <f>IF(ISNUMBER('Resol  Asuntos'!D18/NºAsuntos!G18),'Resol  Asuntos'!D18/NºAsuntos!G18," - ")</f>
        <v>0.11493420258360497</v>
      </c>
      <c r="AO18" s="876">
        <f>IF(ISNUMBER((NºAsuntos!C18+NºAsuntos!E18)/NºAsuntos!G18),(NºAsuntos!C18+NºAsuntos!E18)/NºAsuntos!G18," - ")</f>
        <v>1.2429071592418206</v>
      </c>
      <c r="AP18" s="877" t="str">
        <f t="shared" si="2"/>
        <v xml:space="preserve"> - </v>
      </c>
      <c r="AQ18" s="877">
        <f>IF(ISNUMBER((H18-W18+K18)/(F18)),(H18-W18+K18)/(F18)," - ")</f>
        <v>-4.9480286738351253</v>
      </c>
      <c r="AR18" s="878">
        <f>IF(ISNUMBER((Datos!P18-Datos!Q18)/(Datos!R18-Datos!P18+Datos!Q18)),(Datos!P18-Datos!Q18)/(Datos!R18-Datos!P18+Datos!Q18)," - ")</f>
        <v>0.50624999999999998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1724</v>
      </c>
      <c r="G19" s="821">
        <f t="shared" si="13"/>
        <v>1857</v>
      </c>
      <c r="H19" s="820">
        <f t="shared" si="13"/>
        <v>0</v>
      </c>
      <c r="I19" s="822">
        <f t="shared" si="13"/>
        <v>0</v>
      </c>
      <c r="J19" s="822">
        <f t="shared" si="13"/>
        <v>0</v>
      </c>
      <c r="K19" s="881">
        <f t="shared" si="13"/>
        <v>0</v>
      </c>
      <c r="L19" s="822">
        <f t="shared" si="13"/>
        <v>1457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8367</v>
      </c>
      <c r="X19" s="821">
        <f t="shared" si="14"/>
        <v>2165</v>
      </c>
      <c r="Y19" s="828">
        <f t="shared" si="14"/>
        <v>10532</v>
      </c>
      <c r="Z19" s="828">
        <f t="shared" si="14"/>
        <v>0</v>
      </c>
      <c r="AA19" s="828">
        <f t="shared" si="14"/>
        <v>2106</v>
      </c>
      <c r="AB19" s="828">
        <f t="shared" si="14"/>
        <v>4151</v>
      </c>
      <c r="AC19" s="828">
        <f t="shared" si="14"/>
        <v>2364</v>
      </c>
      <c r="AD19" s="828">
        <f t="shared" si="14"/>
        <v>0</v>
      </c>
      <c r="AE19" s="830">
        <f t="shared" si="14"/>
        <v>0</v>
      </c>
      <c r="AF19" s="831">
        <f t="shared" si="14"/>
        <v>0</v>
      </c>
      <c r="AG19" s="832">
        <f t="shared" si="14"/>
        <v>0</v>
      </c>
      <c r="AH19" s="830">
        <f t="shared" si="14"/>
        <v>0</v>
      </c>
      <c r="AI19" s="820">
        <f t="shared" si="14"/>
        <v>1927</v>
      </c>
      <c r="AJ19" s="820">
        <f t="shared" si="14"/>
        <v>0</v>
      </c>
      <c r="AK19" s="830">
        <f t="shared" si="14"/>
        <v>0</v>
      </c>
      <c r="AL19" s="884">
        <f>IF(ISNUMBER(NºAsuntos!G19/NºAsuntos!E19),NºAsuntos!G19/NºAsuntos!E19," - ")</f>
        <v>0.90630048465266555</v>
      </c>
      <c r="AM19" s="885">
        <f>IF(ISNUMBER(((NºAsuntos!I19/NºAsuntos!G19)*11)/factor_trimestre),((NºAsuntos!I19/NºAsuntos!G19)*11)/factor_trimestre," - ")</f>
        <v>5.0571184995737424</v>
      </c>
      <c r="AN19" s="885">
        <f>IF(ISNUMBER('Resol  Asuntos'!D19/NºAsuntos!G19),'Resol  Asuntos'!D19/NºAsuntos!G19," - ")</f>
        <v>0.14934511353948693</v>
      </c>
      <c r="AO19" s="886">
        <f>IF(ISNUMBER((NºAsuntos!C19+NºAsuntos!E19)/NºAsuntos!G19),(NºAsuntos!C19+NºAsuntos!E19)/NºAsuntos!G19," - ")</f>
        <v>1.4570254979462141</v>
      </c>
      <c r="AP19" s="887" t="str">
        <f t="shared" si="2"/>
        <v xml:space="preserve"> - </v>
      </c>
      <c r="AQ19" s="888">
        <f>IF(OR(ISNUMBER(FIND("01",Criterios!A8,1)),ISNUMBER(FIND("02",Criterios!A8,1)),ISNUMBER(FIND("03",Criterios!A8,1)),ISNUMBER(FIND("04",Criterios!A8,1))),(I19-W19+K19)/(F19-K19),(H19-W19+K19)/(F19-K19))</f>
        <v>-4.8532482598607887</v>
      </c>
      <c r="AR19" s="889">
        <f>IF(ISNUMBER((Datos!P19-Datos!Q19)/(Datos!R19-Datos!P19+Datos!Q19)),(Datos!P19-Datos!Q19)/(Datos!R19-Datos!P19+Datos!Q19)," - ")</f>
        <v>-0.14570899362008644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742.8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937.61683716395225</v>
      </c>
      <c r="G21" s="253">
        <f>IF(ISNUMBER(STDEV(G8:G18)),STDEV(G8:G18),"-")</f>
        <v>905.90490670930797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4166.9256892822077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422.856319175517</v>
      </c>
      <c r="AJ21" s="252">
        <f t="shared" si="18"/>
        <v>0</v>
      </c>
      <c r="AK21" s="254">
        <f t="shared" si="18"/>
        <v>0</v>
      </c>
      <c r="AL21" s="249">
        <f t="shared" si="18"/>
        <v>8.1340805682364722E-2</v>
      </c>
      <c r="AM21" s="250">
        <f t="shared" si="18"/>
        <v>3.3125936675177727</v>
      </c>
      <c r="AN21" s="250">
        <f t="shared" si="18"/>
        <v>0.10857453125185475</v>
      </c>
      <c r="AO21" s="251">
        <f t="shared" si="18"/>
        <v>0.30651775969836464</v>
      </c>
      <c r="AP21" s="291" t="str">
        <f t="shared" si="18"/>
        <v>-</v>
      </c>
      <c r="AQ21" s="292">
        <f t="shared" si="18"/>
        <v>2.3108452363808967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7JfQPIPVfSwL7tsBY4rsQH1M2Ki09v2x3JvmlQF9bJkWL3FGo/XlEGT3S373MaI5HHSwACxVcUOeDTvLOWKTiQ==" saltValue="mGpkyk9lOItuDSvC9WyRB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GRANADA</v>
      </c>
      <c r="E3" s="263"/>
    </row>
    <row r="4" spans="2:20" ht="17.25" customHeight="1" thickBot="1">
      <c r="D4" s="262" t="str">
        <f>Criterios!A11 &amp;"  "&amp;Criterios!B11</f>
        <v>Resumenes por Partidos Judiciales  MOTRIL</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1.2727272727272727</v>
      </c>
      <c r="E10" s="348">
        <f>IF(ISNUMBER((Datos!J10-Datos!T10)/Datos!T10),(Datos!J10-Datos!T10)/Datos!T10," - ")</f>
        <v>0.55000000000000004</v>
      </c>
      <c r="F10" s="348">
        <f>IF(ISNUMBER((Datos!K10-Datos!U10)/Datos!U10),(Datos!K10-Datos!U10)/Datos!U10," - ")</f>
        <v>1.1538461538461537</v>
      </c>
      <c r="G10" s="349">
        <f>IF(ISNUMBER((Datos!L10-Datos!V10)/Datos!V10),(Datos!L10-Datos!V10)/Datos!V10," - ")</f>
        <v>0.18</v>
      </c>
      <c r="H10" s="230">
        <f>IF(ISNUMBER((Datos!M10-Datos!W10)/Datos!W10),(Datos!M10-Datos!W10)/Datos!W10," - ")</f>
        <v>0.61904761904761907</v>
      </c>
      <c r="I10" s="350">
        <f>IF(ISNUMBER((Tasas!C10-Datos!BE10)/Datos!BE10),(Tasas!C10-Datos!BE10)/Datos!BE10," - ")</f>
        <v>-0.45214285714285724</v>
      </c>
      <c r="J10" s="349">
        <f>IF(ISNUMBER((Tasas!D10-Datos!BF10)/Datos!BF10),(Tasas!D10-Datos!BF10)/Datos!BF10," - ")</f>
        <v>-0.2482993197278911</v>
      </c>
      <c r="K10" s="351">
        <f>IF(ISNUMBER((Tasas!E10-Datos!BG10)/Datos!BG10),(Tasas!E10-Datos!BG10)/Datos!BG10," - ")</f>
        <v>-0.19033101045296172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0.1433778857837181</v>
      </c>
      <c r="I12" s="350">
        <f>IF(ISNUMBER((Tasas!C12-Datos!BE12)/Datos!BE12),(Tasas!C12-Datos!BE12)/Datos!BE12," - ")</f>
        <v>0.30168115533969209</v>
      </c>
      <c r="J12" s="349">
        <f>IF(ISNUMBER((Tasas!D12-Datos!BF12)/Datos!BF12),(Tasas!D12-Datos!BF12)/Datos!BF12," - ")</f>
        <v>-0.56002160471434215</v>
      </c>
      <c r="K12" s="351">
        <f>IF(ISNUMBER((Tasas!E12-Datos!BG12)/Datos!BG12),(Tasas!E12-Datos!BG12)/Datos!BG12," - ")</f>
        <v>0.11732209090699654</v>
      </c>
      <c r="M12" t="e">
        <f>IF(Monitorios="SI",Datos!CE12,0)</f>
        <v>#REF!</v>
      </c>
      <c r="N12" t="e">
        <f>IF(Monitorios="SI",Datos!CF12,0)</f>
        <v>#REF!</v>
      </c>
      <c r="O12" t="e">
        <f>IF(Monitorios="SI",Datos!CG12,0)</f>
        <v>#REF!</v>
      </c>
      <c r="P12" t="e">
        <f>IF(Monitorios="SI",Datos!CH12,0)</f>
        <v>#REF!</v>
      </c>
      <c r="Q12">
        <f>IF(J_V="SI",0,Datos!AG12)</f>
        <v>67</v>
      </c>
      <c r="R12">
        <f>IF(J_V="SI",0,Datos!AH12)</f>
        <v>301</v>
      </c>
      <c r="S12">
        <f>IF(J_V="SI",0,Datos!AI12)</f>
        <v>275</v>
      </c>
      <c r="T12">
        <f>IF(J_V="SI",0,Datos!AJ12)</f>
        <v>93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0.15521327014218009</v>
      </c>
      <c r="I13" s="357">
        <f>IF(ISNUMBER((Tasas!C13-Datos!BE13)/Datos!BE13),(Tasas!C13-Datos!BE13)/Datos!BE13," - ")</f>
        <v>0.28607830848396892</v>
      </c>
      <c r="J13" s="355">
        <f>IF(ISNUMBER((Tasas!D13-Datos!BF13)/Datos!BF13),(Tasas!D13-Datos!BF13)/Datos!BF13," - ")</f>
        <v>-0.55300039156823078</v>
      </c>
      <c r="K13" s="358">
        <f>IF(ISNUMBER((Tasas!E13-Datos!BG13)/Datos!BG13),(Tasas!E13-Datos!BG13)/Datos!BG13," - ")</f>
        <v>0.11294202785166639</v>
      </c>
      <c r="M13" t="e">
        <f>IF(Monitorios="SI",Datos!CE13,0)</f>
        <v>#REF!</v>
      </c>
      <c r="N13" t="e">
        <f>IF(Monitorios="SI",Datos!CF13,0)</f>
        <v>#REF!</v>
      </c>
      <c r="O13" t="e">
        <f>IF(Monitorios="SI",Datos!CG13,0)</f>
        <v>#REF!</v>
      </c>
      <c r="P13" t="e">
        <f>IF(Monitorios="SI",Datos!CH13,0)</f>
        <v>#REF!</v>
      </c>
      <c r="Q13">
        <f>IF(J_V="SI",0,Datos!AG13)</f>
        <v>67</v>
      </c>
      <c r="R13">
        <f>IF(J_V="SI",0,Datos!AH13)</f>
        <v>301</v>
      </c>
      <c r="S13">
        <f>IF(J_V="SI",0,Datos!AI13)</f>
        <v>275</v>
      </c>
      <c r="T13">
        <f>IF(J_V="SI",0,Datos!AJ13)</f>
        <v>93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8.6500655307994764E-2</v>
      </c>
      <c r="E16" s="348">
        <f>IF(ISNUMBER(
   IF(D_I="SI",(Datos!J16-Datos!T16)/Datos!T16,(Datos!J16+Datos!AD16-(Datos!T16+Datos!AL16))/(Datos!T16+Datos!AL16))
     ),IF(D_I="SI",(Datos!J16-Datos!T16)/Datos!T16,(Datos!J16+Datos!AD16-(Datos!T16+Datos!AL16))/(Datos!T16+Datos!AL16))," - ")</f>
        <v>-1.084850833010461E-2</v>
      </c>
      <c r="F16" s="348">
        <f>IF(ISNUMBER(
   IF(D_I="SI",(Datos!K16-Datos!U16)/Datos!U16,(Datos!K16+Datos!AE16-(Datos!U16+Datos!AM16))/(Datos!U16+Datos!AM16))
     ),IF(D_I="SI",(Datos!K16-Datos!U16)/Datos!U16,(Datos!K16+Datos!AE16-(Datos!U16+Datos!AM16))/(Datos!U16+Datos!AM16))," - ")</f>
        <v>-4.4353810859036454E-2</v>
      </c>
      <c r="G16" s="349">
        <f>IF(ISNUMBER(
   IF(D_I="SI",(Datos!L16-Datos!V16)/Datos!V16,(Datos!L16+Datos!AF16-(Datos!V16+Datos!AN16))/(Datos!V16+Datos!AN16))
     ),IF(D_I="SI",(Datos!L16-Datos!V16)/Datos!V16,(Datos!L16+Datos!AF16-(Datos!V16+Datos!AN16))/(Datos!V16+Datos!AN16))," - ")</f>
        <v>0.10675512665862485</v>
      </c>
      <c r="H16" s="230">
        <f>IF(ISNUMBER((Datos!M16-Datos!W16)/Datos!W16),(Datos!M16-Datos!W16)/Datos!W16," - ")</f>
        <v>3.2171581769436998E-2</v>
      </c>
      <c r="I16" s="350">
        <f>IF(ISNUMBER((Tasas!C16-Datos!BE16)/Datos!BE16),(Tasas!C16-Datos!BE16)/Datos!BE16," - ")</f>
        <v>0.1581222624384597</v>
      </c>
      <c r="J16" s="349">
        <f>IF(ISNUMBER((Tasas!D16-Datos!BF16)/Datos!BF16),(Tasas!D16-Datos!BF16)/Datos!BF16," - ")</f>
        <v>8.0077117973193238E-2</v>
      </c>
      <c r="K16" s="351">
        <f>IF(ISNUMBER((Tasas!E16-Datos!BG16)/Datos!BG16),(Tasas!E16-Datos!BG16)/Datos!BG16," - ")</f>
        <v>5.1831277710305872E-2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8.7591240875912413E-2</v>
      </c>
      <c r="E17" s="348">
        <f>IF(ISNUMBER(
   IF(D_I="SI",(Datos!J17-Datos!T17)/Datos!T17,(Datos!J17+Datos!AD17-(Datos!T17+Datos!AL17))/(Datos!T17+Datos!AL17))
     ),IF(D_I="SI",(Datos!J17-Datos!T17)/Datos!T17,(Datos!J17+Datos!AD17-(Datos!T17+Datos!AL17))/(Datos!T17+Datos!AL17))," - ")</f>
        <v>-0.62573363431151241</v>
      </c>
      <c r="F17" s="348">
        <f>IF(ISNUMBER(
   IF(D_I="SI",(Datos!K17-Datos!U17)/Datos!U17,(Datos!K17+Datos!AE17-(Datos!U17+Datos!AM17))/(Datos!U17+Datos!AM17))
     ),IF(D_I="SI",(Datos!K17-Datos!U17)/Datos!U17,(Datos!K17+Datos!AE17-(Datos!U17+Datos!AM17))/(Datos!U17+Datos!AM17))," - ")</f>
        <v>-0.65126610395379836</v>
      </c>
      <c r="G17" s="349">
        <f>IF(ISNUMBER(
   IF(D_I="SI",(Datos!L17-Datos!V17)/Datos!V17,(Datos!L17+Datos!AF17-(Datos!V17+Datos!AN17))/(Datos!V17+Datos!AN17))
     ),IF(D_I="SI",(Datos!L17-Datos!V17)/Datos!V17,(Datos!L17+Datos!AF17-(Datos!V17+Datos!AN17))/(Datos!V17+Datos!AN17))," - ")</f>
        <v>0.42281879194630873</v>
      </c>
      <c r="H17" s="230">
        <f>IF(ISNUMBER((Datos!M17-Datos!W17)/Datos!W17),(Datos!M17-Datos!W17)/Datos!W17," - ")</f>
        <v>7.6923076923076927E-2</v>
      </c>
      <c r="I17" s="350">
        <f>IF(ISNUMBER((Tasas!C17-Datos!BE17)/Datos!BE17),(Tasas!C17-Datos!BE17)/Datos!BE17," - ")</f>
        <v>3.0799555422562306</v>
      </c>
      <c r="J17" s="349">
        <f>IF(ISNUMBER((Tasas!D17-Datos!BF17)/Datos!BF17),(Tasas!D17-Datos!BF17)/Datos!BF17," - ")</f>
        <v>2.0880940715335621</v>
      </c>
      <c r="K17" s="351">
        <f>IF(ISNUMBER((Tasas!E17-Datos!BG17)/Datos!BG17),(Tasas!E17-Datos!BG17)/Datos!BG17," - ")</f>
        <v>0.1923599376056154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8.6590499098015639E-2</v>
      </c>
      <c r="E18" s="354">
        <f>IF(ISNUMBER(
   IF(D_I="SI",(Datos!J18-Datos!T18)/Datos!T18,(Datos!J18+Datos!AD18-(Datos!T18+Datos!AL18))/(Datos!T18+Datos!AL18))
     ),IF(D_I="SI",(Datos!J18-Datos!T18)/Datos!T18,(Datos!J18+Datos!AD18-(Datos!T18+Datos!AL18))/(Datos!T18+Datos!AL18))," - ")</f>
        <v>-0.14762000401687086</v>
      </c>
      <c r="F18" s="354">
        <f>IF(ISNUMBER(
   IF(D_I="SI",(Datos!K18-Datos!U18)/Datos!U18,(Datos!K18+Datos!AE18-(Datos!U18+Datos!AM18))/(Datos!U18+Datos!AM18))
     ),IF(D_I="SI",(Datos!K18-Datos!U18)/Datos!U18,(Datos!K18+Datos!AE18-(Datos!U18+Datos!AM18))/(Datos!U18+Datos!AM18))," - ")</f>
        <v>-0.17965732395761116</v>
      </c>
      <c r="G18" s="355">
        <f>IF(ISNUMBER(
   IF(D_I="SI",(Datos!L18-Datos!V18)/Datos!V18,(Datos!L18+Datos!AF18-(Datos!V18+Datos!AN18))/(Datos!V18+Datos!AN18))
     ),IF(D_I="SI",(Datos!L18-Datos!V18)/Datos!V18,(Datos!L18+Datos!AF18-(Datos!V18+Datos!AN18))/(Datos!V18+Datos!AN18))," - ")</f>
        <v>0.13281682346430548</v>
      </c>
      <c r="H18" s="356">
        <f>IF(ISNUMBER((Datos!M18-Datos!W18)/Datos!W18),(Datos!M18-Datos!W18)/Datos!W18," - ")</f>
        <v>4.0437158469945354E-2</v>
      </c>
      <c r="I18" s="357">
        <f>IF(ISNUMBER((Tasas!C18-Datos!BE18)/Datos!BE18),(Tasas!C18-Datos!BE18)/Datos!BE18," - ")</f>
        <v>0.38090685337668628</v>
      </c>
      <c r="J18" s="355">
        <f>IF(ISNUMBER((Tasas!D18-Datos!BF18)/Datos!BF18),(Tasas!D18-Datos!BF18)/Datos!BF18," - ")</f>
        <v>0.26829578523132175</v>
      </c>
      <c r="K18" s="358">
        <f>IF(ISNUMBER((Tasas!E18-Datos!BG18)/Datos!BG18),(Tasas!E18-Datos!BG18)/Datos!BG18," - ")</f>
        <v>7.9909954983621259E-2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0.1730077120822622</v>
      </c>
      <c r="E19" s="363">
        <f>IF(ISNUMBER(
   IF(J_V="SI",(Datos!J19-Datos!T19)/Datos!T19,(Datos!J19+Datos!Z19-(Datos!T19+Datos!AH19))/(Datos!T19+Datos!AH19))
     ),IF(J_V="SI",(Datos!J19-Datos!T19)/Datos!T19,(Datos!J19+Datos!Z19-(Datos!T19+Datos!AH19))/(Datos!T19+Datos!AH19))," - ")</f>
        <v>-3.1694212065564852E-2</v>
      </c>
      <c r="F19" s="363">
        <f>IF(ISNUMBER(
   IF(J_V="SI",(Datos!K19-Datos!U19)/Datos!U19,(Datos!K19+Datos!AA19-(Datos!U19+Datos!AI19))/(Datos!U19+Datos!AI19))
     ),IF(J_V="SI",(Datos!K19-Datos!U19)/Datos!U19,(Datos!K19+Datos!AA19-(Datos!U19+Datos!AI19))/(Datos!U19+Datos!AI19))," - ")</f>
        <v>-9.8448854108440467E-2</v>
      </c>
      <c r="G19" s="364">
        <f>IF(ISNUMBER(
   IF(J_V="SI",(Datos!L19-Datos!V19)/Datos!V19,(Datos!L19+Datos!AB19-(Datos!V19+Datos!AJ19))/(Datos!V19+Datos!AJ19))
     ),IF(J_V="SI",(Datos!L19-Datos!V19)/Datos!V19,(Datos!L19+Datos!AB19-(Datos!V19+Datos!AJ19))/(Datos!V19+Datos!AJ19))," - ")</f>
        <v>0.30002191540653078</v>
      </c>
      <c r="H19" s="365">
        <f>IF(ISNUMBER((Datos!M19-Datos!W19)/Datos!W19),(Datos!M19-Datos!W19)/Datos!W19," - ")</f>
        <v>9.5508811824900508E-2</v>
      </c>
      <c r="I19" s="362">
        <f>IF(ISNUMBER((Tasas!C19-Datos!BE19)/Datos!BE19),(Tasas!C19-Datos!BE19)/Datos!BE19," - ")</f>
        <v>0.44198354284261543</v>
      </c>
      <c r="J19" s="363">
        <f>IF(ISNUMBER((Tasas!D19-Datos!BF19)/Datos!BF19),(Tasas!D19-Datos!BF19)/Datos!BF19," - ")</f>
        <v>-0.26422469363953976</v>
      </c>
      <c r="K19" s="364">
        <f>IF(ISNUMBER((Tasas!E19-Datos!BG19)/Datos!BG19),(Tasas!E19-Datos!BG19)/Datos!BG19," - ")</f>
        <v>0.12154837447459886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0.59291677652059571</v>
      </c>
      <c r="E21" s="278">
        <f t="shared" si="1"/>
        <v>0.48381789806109277</v>
      </c>
      <c r="F21" s="278">
        <f t="shared" si="1"/>
        <v>0.76819102211677281</v>
      </c>
      <c r="G21" s="279">
        <f t="shared" si="1"/>
        <v>0.14469180569402518</v>
      </c>
      <c r="H21" s="285">
        <f t="shared" si="1"/>
        <v>0.22210214802078815</v>
      </c>
      <c r="I21" s="277">
        <f t="shared" si="1"/>
        <v>1.239677312440125</v>
      </c>
      <c r="J21" s="278">
        <f t="shared" si="1"/>
        <v>0.9926692946986958</v>
      </c>
      <c r="K21" s="279">
        <f t="shared" si="1"/>
        <v>0.13170715247118889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BsnoXkbDVMwdsLJeLfvWQT56/EpL4fsM1s4oIt5hOC+8r9nAMLz5LZuejdI3WqHubRLjIQeM9mcsdSlYUPqUw==" saltValue="lFwHHTWnfKcf1yRSZAMne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50</v>
      </c>
      <c r="D10" s="225">
        <f>IF(ISNUMBER(Datos!I10),Datos!I10," - ")</f>
        <v>50</v>
      </c>
      <c r="E10" s="226">
        <f>IF(ISNUMBER(Datos!J10),Datos!J10," - ")</f>
        <v>93</v>
      </c>
      <c r="F10" s="226">
        <f>IF(ISNUMBER(Datos!K10),Datos!K10," - ")</f>
        <v>84</v>
      </c>
      <c r="G10" s="1034" t="str">
        <f>IF(Datos!E10&lt;&gt;"",Datos!E10,Datos!D10)</f>
        <v>37</v>
      </c>
      <c r="H10" s="227">
        <f>IF(ISNUMBER(Datos!L10),Datos!L10," - ")</f>
        <v>59</v>
      </c>
      <c r="I10" s="1044" t="str">
        <f>IF(ISNUMBER(Datos!AS10/Datos!BM10),Datos!AS10/Datos!BM10," - ")</f>
        <v xml:space="preserve"> - </v>
      </c>
      <c r="J10" s="1045">
        <f>IF(ISNUMBER(Datos!BY10/Datos!CN10),Datos!BY10/Datos!CN10," - ")</f>
        <v>0</v>
      </c>
      <c r="K10" s="230">
        <f t="shared" ref="K10:K12" si="1">IF(ISNUMBER((E10-F10)/C10),(E10-F10)/C10," - ")</f>
        <v>0.18</v>
      </c>
      <c r="L10" s="1025">
        <f>IF(ISNUMBER(NºAsuntos!I10/NºAsuntos!G10),(NºAsuntos!I10/NºAsuntos!G10)*11," - ")</f>
        <v>7.7261904761904754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9.2782186948853624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50</v>
      </c>
      <c r="D13" s="1049">
        <f>SUBTOTAL(9,D9:D12)</f>
        <v>50</v>
      </c>
      <c r="E13" s="1050">
        <f>SUBTOTAL(9,E9:E12)</f>
        <v>93</v>
      </c>
      <c r="F13" s="1051">
        <f>SUBTOTAL(9,F9:F12)</f>
        <v>84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1674</v>
      </c>
      <c r="D16" s="225">
        <f>IF(ISNUMBER(IF(D_I="SI",Datos!I16,Datos!I16+Datos!AC16)),IF(D_I="SI",Datos!I16,Datos!I16+Datos!AC16)," - ")</f>
        <v>1658</v>
      </c>
      <c r="E16" s="226">
        <f>IF(ISNUMBER(IF(D_I="SI",Datos!J16,Datos!J16+Datos!AD16)),IF(D_I="SI",Datos!J16,Datos!J16+Datos!AD16)," - ")</f>
        <v>7659</v>
      </c>
      <c r="F16" s="226">
        <f>IF(ISNUMBER(IF(D_I="SI",Datos!K16,Datos!K16+Datos!AE16)),IF(D_I="SI",Datos!K16,Datos!K16+Datos!AE16)," - ")</f>
        <v>7498</v>
      </c>
      <c r="G16" s="1034" t="str">
        <f>IF(Datos!E16&lt;&gt;"",Datos!E16,Datos!D16)</f>
        <v>04</v>
      </c>
      <c r="H16" s="227">
        <f>IF(ISNUMBER(IF(D_I="SI",Datos!L16,Datos!L16+Datos!AF16)),IF(D_I="SI",Datos!L16,Datos!L16+Datos!AF16)," - ")</f>
        <v>1835</v>
      </c>
      <c r="I16" s="1044" t="str">
        <f>IF(ISNUMBER(Datos!AS16/Datos!BM16),Datos!AS16/Datos!BM16," - ")</f>
        <v xml:space="preserve"> - </v>
      </c>
      <c r="J16" s="1045">
        <f>IF(ISNUMBER(Datos!BY16/Datos!CN16),Datos!BY16/Datos!CN16," - ")</f>
        <v>0</v>
      </c>
      <c r="K16" s="230">
        <f t="shared" si="3"/>
        <v>9.6176821983273597E-2</v>
      </c>
      <c r="L16" s="1025">
        <f>IF(ISNUMBER(NºAsuntos!I16/NºAsuntos!G16),(NºAsuntos!I16/NºAsuntos!G16)*11," - ")</f>
        <v>2.6920512136569754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168</v>
      </c>
      <c r="D17" s="225">
        <f>IF(ISNUMBER(IF(D_I="SI",Datos!I17,Datos!I17+Datos!AC17)),IF(D_I="SI",Datos!I17,Datos!I17+Datos!AC17)," - ")</f>
        <v>149</v>
      </c>
      <c r="E17" s="226">
        <f>IF(ISNUMBER(IF(D_I="SI",Datos!J17,Datos!J17+Datos!AD17)),IF(D_I="SI",Datos!J17,Datos!J17+Datos!AD17)," - ")</f>
        <v>829</v>
      </c>
      <c r="F17" s="226">
        <f>IF(ISNUMBER(IF(D_I="SI",Datos!K17,Datos!K17+Datos!AE17)),IF(D_I="SI",Datos!K17,Datos!K17+Datos!AE17)," - ")</f>
        <v>785</v>
      </c>
      <c r="G17" s="1034" t="str">
        <f>IF(Datos!E17&lt;&gt;"",Datos!E17,Datos!D17)</f>
        <v>37</v>
      </c>
      <c r="H17" s="227">
        <f>IF(ISNUMBER(IF(D_I="SI",Datos!L17,Datos!L17+Datos!AF17)),IF(D_I="SI",Datos!L17,Datos!L17+Datos!AF17)," - ")</f>
        <v>212</v>
      </c>
      <c r="I17" s="1044" t="str">
        <f>IF(ISNUMBER(Datos!AS17/Datos!BM17),Datos!AS17/Datos!BM17," - ")</f>
        <v xml:space="preserve"> - </v>
      </c>
      <c r="J17" s="1045" t="str">
        <f>IF(ISNUMBER((Datos!BY17+Datos!BZ17)/Datos!CN17),(Datos!BY17+Datos!BZ17)/Datos!CN17," - ")</f>
        <v xml:space="preserve"> - </v>
      </c>
      <c r="K17" s="230">
        <f t="shared" si="3"/>
        <v>0.26190476190476192</v>
      </c>
      <c r="L17" s="1025">
        <f>IF(ISNUMBER(NºAsuntos!I17/NºAsuntos!G17),(NºAsuntos!I17/NºAsuntos!G17)*11," - ")</f>
        <v>2.9707006369426749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1842</v>
      </c>
      <c r="D18" s="1049">
        <f>SUBTOTAL(9,D15:D17)</f>
        <v>1807</v>
      </c>
      <c r="E18" s="1050">
        <f>SUBTOTAL(9,E15:E17)</f>
        <v>8488</v>
      </c>
      <c r="F18" s="1050">
        <f>SUBTOTAL(9,F15:F17)</f>
        <v>8283</v>
      </c>
      <c r="G18" s="1052" t="str">
        <f ca="1">INDIRECT(CONCATENATE("G",ROW()-1))</f>
        <v>37</v>
      </c>
      <c r="H18" s="1053">
        <f ca="1">SUMIF(G$14:G17,G18,H$14:H17)</f>
        <v>212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1892</v>
      </c>
      <c r="D19" s="1071">
        <f>SUBTOTAL(9,D9:D18)</f>
        <v>1857</v>
      </c>
      <c r="E19" s="1072">
        <f>SUBTOTAL(9,E9:E18)</f>
        <v>8581</v>
      </c>
      <c r="F19" s="1072">
        <f>SUBTOTAL(9,F9:F18)</f>
        <v>8367</v>
      </c>
      <c r="G19" s="1073"/>
      <c r="H19" s="1074">
        <f ca="1">SUMIF(B9:B18,"TOTAL",H9:H18)</f>
        <v>212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nV3dS95W4USCq2NLXSMp12RHKtUXWlDnsqOLi8ChLtVfLxG3OjO14EwkuZqYzxiTniIDsdiNUCjT45y217iuQ==" saltValue="cL3wzIz/FRjsktBnh94dK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SLRG/UBdIMWVdWt9XFGLSyrIIQhznS0dM67SDsxwqqKON7WUsR5/kH2LdniWQXz7MdgBv5yzgiEDZSwHirGGw==" saltValue="YnWtWovB/uSHT/Dq7K5TB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50</v>
      </c>
      <c r="J10" s="181">
        <v>93</v>
      </c>
      <c r="K10" s="181">
        <v>84</v>
      </c>
      <c r="L10" s="181">
        <v>59</v>
      </c>
      <c r="M10" s="181">
        <v>34</v>
      </c>
      <c r="N10" s="181">
        <v>16</v>
      </c>
      <c r="O10" s="181">
        <v>46</v>
      </c>
      <c r="P10" s="181">
        <v>32</v>
      </c>
      <c r="Q10" s="181">
        <v>29</v>
      </c>
      <c r="R10" s="181">
        <v>17</v>
      </c>
      <c r="S10" s="181">
        <v>22</v>
      </c>
      <c r="T10" s="181">
        <v>60</v>
      </c>
      <c r="U10" s="181">
        <v>39</v>
      </c>
      <c r="V10" s="181">
        <v>50</v>
      </c>
      <c r="W10" s="181">
        <v>21</v>
      </c>
      <c r="X10" s="188">
        <v>12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22</v>
      </c>
      <c r="AZ10" s="129">
        <f t="shared" si="0"/>
        <v>60</v>
      </c>
      <c r="BA10" s="129">
        <f t="shared" si="0"/>
        <v>39</v>
      </c>
      <c r="BB10" s="129">
        <f t="shared" si="0"/>
        <v>50</v>
      </c>
      <c r="BC10" s="125">
        <f t="shared" si="0"/>
        <v>21</v>
      </c>
      <c r="BD10" s="126">
        <f>IF(ISNUMBER(BA10/AZ10),BA10/AZ10," - ")</f>
        <v>0.65</v>
      </c>
      <c r="BE10" s="127">
        <f>IF(ISNUMBER(BB10/BA10),BB10/BA10, " - ")</f>
        <v>1.2820512820512822</v>
      </c>
      <c r="BF10" s="127">
        <f>IF(ISNUMBER(BC10/BA10),BC10/BA10, " - ")</f>
        <v>0.53846153846153844</v>
      </c>
      <c r="BG10" s="196">
        <f>IF(ISNUMBER((AY10+AZ10)/BA10),(AY10+AZ10)/BA10," - ")</f>
        <v>2.1025641025641026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2613</v>
      </c>
      <c r="J12" s="183">
        <v>5391</v>
      </c>
      <c r="K12" s="183">
        <v>4286</v>
      </c>
      <c r="L12" s="183">
        <v>3718</v>
      </c>
      <c r="M12" s="183">
        <v>941</v>
      </c>
      <c r="N12" s="183">
        <v>2183</v>
      </c>
      <c r="O12" s="181">
        <v>1903</v>
      </c>
      <c r="P12" s="183">
        <v>1151</v>
      </c>
      <c r="Q12" s="183">
        <v>1943</v>
      </c>
      <c r="R12" s="183">
        <v>3893</v>
      </c>
      <c r="S12" s="183">
        <v>2138</v>
      </c>
      <c r="T12" s="183">
        <v>4384</v>
      </c>
      <c r="U12" s="183">
        <v>3901</v>
      </c>
      <c r="V12" s="183">
        <v>2613</v>
      </c>
      <c r="W12" s="183">
        <v>823</v>
      </c>
      <c r="X12" s="189">
        <v>1969</v>
      </c>
      <c r="Y12" s="191">
        <v>93</v>
      </c>
      <c r="Z12" s="181">
        <v>265</v>
      </c>
      <c r="AA12" s="181">
        <v>250</v>
      </c>
      <c r="AB12" s="181">
        <v>108</v>
      </c>
      <c r="AC12" s="183">
        <v>0</v>
      </c>
      <c r="AD12" s="183">
        <v>0</v>
      </c>
      <c r="AE12" s="183">
        <v>0</v>
      </c>
      <c r="AF12" s="189">
        <v>0</v>
      </c>
      <c r="AG12" s="202">
        <v>67</v>
      </c>
      <c r="AH12" s="183">
        <v>301</v>
      </c>
      <c r="AI12" s="183">
        <v>275</v>
      </c>
      <c r="AJ12" s="203">
        <v>93</v>
      </c>
      <c r="AK12" s="182">
        <v>0</v>
      </c>
      <c r="AL12" s="183">
        <v>0</v>
      </c>
      <c r="AM12" s="183">
        <v>0</v>
      </c>
      <c r="AN12" s="189">
        <v>0</v>
      </c>
      <c r="AO12" s="259">
        <v>5</v>
      </c>
      <c r="AP12" s="155">
        <v>5</v>
      </c>
      <c r="AQ12" s="155">
        <v>5</v>
      </c>
      <c r="AR12" s="154">
        <v>5</v>
      </c>
      <c r="AS12" s="340" t="s">
        <v>802</v>
      </c>
      <c r="AT12" s="203"/>
      <c r="AU12" s="202"/>
      <c r="AV12" s="203"/>
      <c r="AW12" s="202"/>
      <c r="AX12" s="203"/>
      <c r="AY12" s="126">
        <f t="shared" si="1"/>
        <v>2205</v>
      </c>
      <c r="AZ12" s="127">
        <f t="shared" si="1"/>
        <v>4685</v>
      </c>
      <c r="BA12" s="127">
        <f t="shared" si="1"/>
        <v>4176</v>
      </c>
      <c r="BB12" s="127">
        <f t="shared" si="1"/>
        <v>2706</v>
      </c>
      <c r="BC12" s="125">
        <f>IF(ISNUMBER(X12),X12," - ")</f>
        <v>1969</v>
      </c>
      <c r="BD12" s="126">
        <f t="shared" si="2"/>
        <v>0.89135538954108862</v>
      </c>
      <c r="BE12" s="127">
        <f t="shared" si="3"/>
        <v>0.64798850574712641</v>
      </c>
      <c r="BF12" s="127">
        <f t="shared" si="4"/>
        <v>0.47150383141762453</v>
      </c>
      <c r="BG12" s="196">
        <f t="shared" si="5"/>
        <v>1.649904214559387</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2663</v>
      </c>
      <c r="J13" s="184">
        <f t="shared" si="6"/>
        <v>5484</v>
      </c>
      <c r="K13" s="184">
        <f t="shared" si="6"/>
        <v>4370</v>
      </c>
      <c r="L13" s="184">
        <f t="shared" si="6"/>
        <v>3777</v>
      </c>
      <c r="M13" s="184">
        <f t="shared" si="6"/>
        <v>975</v>
      </c>
      <c r="N13" s="184">
        <f t="shared" si="6"/>
        <v>2199</v>
      </c>
      <c r="O13" s="184">
        <f t="shared" si="6"/>
        <v>1949</v>
      </c>
      <c r="P13" s="184">
        <f t="shared" si="6"/>
        <v>1183</v>
      </c>
      <c r="Q13" s="184">
        <f t="shared" si="6"/>
        <v>1972</v>
      </c>
      <c r="R13" s="184">
        <f t="shared" si="6"/>
        <v>3910</v>
      </c>
      <c r="S13" s="184">
        <f t="shared" si="6"/>
        <v>2160</v>
      </c>
      <c r="T13" s="184">
        <f t="shared" si="6"/>
        <v>4444</v>
      </c>
      <c r="U13" s="184">
        <f t="shared" si="6"/>
        <v>3940</v>
      </c>
      <c r="V13" s="184">
        <f t="shared" si="6"/>
        <v>2663</v>
      </c>
      <c r="W13" s="184">
        <f t="shared" si="6"/>
        <v>844</v>
      </c>
      <c r="X13" s="184">
        <f t="shared" si="6"/>
        <v>1981</v>
      </c>
      <c r="Y13" s="184">
        <f t="shared" si="6"/>
        <v>93</v>
      </c>
      <c r="Z13" s="184">
        <f t="shared" si="6"/>
        <v>265</v>
      </c>
      <c r="AA13" s="184">
        <f t="shared" si="6"/>
        <v>250</v>
      </c>
      <c r="AB13" s="184">
        <f t="shared" si="6"/>
        <v>108</v>
      </c>
      <c r="AC13" s="184">
        <f t="shared" si="6"/>
        <v>0</v>
      </c>
      <c r="AD13" s="184">
        <f t="shared" si="6"/>
        <v>0</v>
      </c>
      <c r="AE13" s="184">
        <f t="shared" si="6"/>
        <v>0</v>
      </c>
      <c r="AF13" s="184">
        <f>SUBTOTAL(9,AF9:AF12)</f>
        <v>0</v>
      </c>
      <c r="AG13" s="184">
        <f t="shared" ref="AG13:AT13" si="7">SUBTOTAL(9,AG8:AG12)</f>
        <v>67</v>
      </c>
      <c r="AH13" s="184">
        <f t="shared" si="7"/>
        <v>301</v>
      </c>
      <c r="AI13" s="184">
        <f t="shared" si="7"/>
        <v>275</v>
      </c>
      <c r="AJ13" s="184">
        <f t="shared" si="7"/>
        <v>93</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2227</v>
      </c>
      <c r="AZ13" s="184">
        <f>SUBTOTAL(9,AZ8:AZ12)</f>
        <v>4745</v>
      </c>
      <c r="BA13" s="184">
        <f>SUBTOTAL(9,BA8:BA12)</f>
        <v>4215</v>
      </c>
      <c r="BB13" s="184">
        <f>SUBTOTAL(9,BB8:BB12)</f>
        <v>2756</v>
      </c>
      <c r="BC13" s="184">
        <f>SUBTOTAL(9,BC8:BC12)</f>
        <v>1990</v>
      </c>
      <c r="BD13" s="205">
        <f>IF(ISNUMBER(BA13/AZ13),BA13/AZ13," - ")</f>
        <v>0.88830347734457327</v>
      </c>
      <c r="BE13" s="206">
        <f>IF(ISNUMBER(BB13/BA13),BB13/BA13, " - ")</f>
        <v>0.65385527876631078</v>
      </c>
      <c r="BF13" s="206">
        <f>IF(ISNUMBER(BC13/BA13),BC13/BA13, " - ")</f>
        <v>0.47212336892052192</v>
      </c>
      <c r="BG13" s="207">
        <f>IF(ISNUMBER((AY13+AZ13)/BA13),(AY13+AZ13)/BA13," - ")</f>
        <v>1.6540925266903914</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1658</v>
      </c>
      <c r="J16" s="183">
        <v>7659</v>
      </c>
      <c r="K16" s="183">
        <v>7498</v>
      </c>
      <c r="L16" s="183">
        <v>1835</v>
      </c>
      <c r="M16" s="183">
        <v>770</v>
      </c>
      <c r="N16" s="183">
        <v>5246</v>
      </c>
      <c r="O16" s="181">
        <v>109</v>
      </c>
      <c r="P16" s="183">
        <v>263</v>
      </c>
      <c r="Q16" s="183">
        <v>175</v>
      </c>
      <c r="R16" s="183">
        <v>234</v>
      </c>
      <c r="S16" s="183">
        <v>1526</v>
      </c>
      <c r="T16" s="183">
        <v>7743</v>
      </c>
      <c r="U16" s="183">
        <v>7846</v>
      </c>
      <c r="V16" s="183">
        <v>1658</v>
      </c>
      <c r="W16" s="183">
        <v>746</v>
      </c>
      <c r="X16" s="189">
        <v>5599</v>
      </c>
      <c r="Y16" s="202">
        <v>0</v>
      </c>
      <c r="Z16" s="183">
        <v>0</v>
      </c>
      <c r="AA16" s="183">
        <v>0</v>
      </c>
      <c r="AB16" s="183">
        <v>0</v>
      </c>
      <c r="AC16" s="183">
        <v>0</v>
      </c>
      <c r="AD16" s="183">
        <v>3</v>
      </c>
      <c r="AE16" s="183">
        <v>3</v>
      </c>
      <c r="AF16" s="189">
        <v>0</v>
      </c>
      <c r="AG16" s="202">
        <v>0</v>
      </c>
      <c r="AH16" s="183">
        <v>0</v>
      </c>
      <c r="AI16" s="183">
        <v>0</v>
      </c>
      <c r="AJ16" s="203">
        <v>0</v>
      </c>
      <c r="AK16" s="182">
        <v>8</v>
      </c>
      <c r="AL16" s="183">
        <v>14</v>
      </c>
      <c r="AM16" s="183">
        <v>22</v>
      </c>
      <c r="AN16" s="189">
        <v>0</v>
      </c>
      <c r="AO16" s="259">
        <v>5</v>
      </c>
      <c r="AP16" s="155">
        <v>5</v>
      </c>
      <c r="AQ16" s="155">
        <v>5</v>
      </c>
      <c r="AR16" s="155">
        <v>5</v>
      </c>
      <c r="AS16" s="340" t="s">
        <v>487</v>
      </c>
      <c r="AT16" s="203"/>
      <c r="AU16" s="202"/>
      <c r="AV16" s="203"/>
      <c r="AW16" s="202"/>
      <c r="AX16" s="203"/>
      <c r="AY16" s="126">
        <f t="shared" si="9"/>
        <v>1526</v>
      </c>
      <c r="AZ16" s="127">
        <f t="shared" si="9"/>
        <v>7743</v>
      </c>
      <c r="BA16" s="127">
        <f t="shared" si="9"/>
        <v>7846</v>
      </c>
      <c r="BB16" s="127">
        <f t="shared" si="9"/>
        <v>1658</v>
      </c>
      <c r="BC16" s="125">
        <f>IF(ISNUMBER(W16),W16," - ")</f>
        <v>746</v>
      </c>
      <c r="BD16" s="126">
        <f t="shared" ref="BD16" si="11">IF(ISNUMBER(BA16/AZ16),BA16/AZ16," - ")</f>
        <v>1.0133023375952472</v>
      </c>
      <c r="BE16" s="127">
        <f t="shared" ref="BE16" si="12">IF(ISNUMBER(BB16/BA16),BB16/BA16, " - ")</f>
        <v>0.21131786897782309</v>
      </c>
      <c r="BF16" s="127">
        <f t="shared" ref="BF16" si="13">IF(ISNUMBER(BC16/BA16),BC16/BA16, " - ")</f>
        <v>9.5080295692072395E-2</v>
      </c>
      <c r="BG16" s="196">
        <f t="shared" si="10"/>
        <v>1.1813663013000255</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149</v>
      </c>
      <c r="J17" s="183">
        <v>829</v>
      </c>
      <c r="K17" s="183">
        <v>785</v>
      </c>
      <c r="L17" s="183">
        <v>212</v>
      </c>
      <c r="M17" s="183">
        <v>182</v>
      </c>
      <c r="N17" s="183">
        <v>339</v>
      </c>
      <c r="O17" s="183">
        <v>16</v>
      </c>
      <c r="P17" s="183">
        <v>11</v>
      </c>
      <c r="Q17" s="183">
        <v>18</v>
      </c>
      <c r="R17" s="183">
        <v>7</v>
      </c>
      <c r="S17" s="183">
        <v>137</v>
      </c>
      <c r="T17" s="183">
        <v>2215</v>
      </c>
      <c r="U17" s="183">
        <v>2251</v>
      </c>
      <c r="V17" s="183">
        <v>149</v>
      </c>
      <c r="W17" s="183">
        <v>169</v>
      </c>
      <c r="X17" s="189">
        <v>1855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137</v>
      </c>
      <c r="AZ17" s="129">
        <f t="shared" si="14"/>
        <v>2215</v>
      </c>
      <c r="BA17" s="129">
        <f t="shared" si="14"/>
        <v>2251</v>
      </c>
      <c r="BB17" s="129">
        <f t="shared" si="14"/>
        <v>149</v>
      </c>
      <c r="BC17" s="125">
        <f>IF(ISNUMBER(W17),W17," - ")</f>
        <v>169</v>
      </c>
      <c r="BD17" s="126">
        <f>IF(ISNUMBER(BA17/AZ17),BA17/AZ17," - ")</f>
        <v>1.016252821670429</v>
      </c>
      <c r="BE17" s="127">
        <f>IF(ISNUMBER(BB17/BA17),BB17/BA17, " - ")</f>
        <v>6.6192803198578412E-2</v>
      </c>
      <c r="BF17" s="127">
        <f>IF(ISNUMBER(BC17/BA17),BC17/BA17, " - ")</f>
        <v>7.5077743225233223E-2</v>
      </c>
      <c r="BG17" s="196">
        <f>IF(ISNUMBER((AY17+AZ17)/BA17),(AY17+AZ17)/BA17," - ")</f>
        <v>1.0448689471346069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1807</v>
      </c>
      <c r="J18" s="184">
        <f t="shared" si="15"/>
        <v>8488</v>
      </c>
      <c r="K18" s="184">
        <f t="shared" si="15"/>
        <v>8283</v>
      </c>
      <c r="L18" s="184">
        <f t="shared" si="15"/>
        <v>2047</v>
      </c>
      <c r="M18" s="184">
        <f t="shared" si="15"/>
        <v>952</v>
      </c>
      <c r="N18" s="184">
        <f t="shared" si="15"/>
        <v>5585</v>
      </c>
      <c r="O18" s="184">
        <f t="shared" si="15"/>
        <v>125</v>
      </c>
      <c r="P18" s="184">
        <f t="shared" si="15"/>
        <v>274</v>
      </c>
      <c r="Q18" s="184">
        <f t="shared" si="15"/>
        <v>193</v>
      </c>
      <c r="R18" s="184">
        <f t="shared" si="15"/>
        <v>241</v>
      </c>
      <c r="S18" s="184">
        <f t="shared" si="15"/>
        <v>1663</v>
      </c>
      <c r="T18" s="184">
        <f t="shared" si="15"/>
        <v>9958</v>
      </c>
      <c r="U18" s="184">
        <f t="shared" si="15"/>
        <v>10097</v>
      </c>
      <c r="V18" s="184">
        <f t="shared" si="15"/>
        <v>1807</v>
      </c>
      <c r="W18" s="184">
        <f t="shared" si="15"/>
        <v>915</v>
      </c>
      <c r="X18" s="184">
        <f t="shared" si="15"/>
        <v>7454</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8</v>
      </c>
      <c r="AL18" s="184">
        <f t="shared" si="15"/>
        <v>14</v>
      </c>
      <c r="AM18" s="184">
        <f t="shared" si="15"/>
        <v>22</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1663</v>
      </c>
      <c r="AZ18" s="184">
        <f>SUBTOTAL(9,AZ14:AZ17)</f>
        <v>9958</v>
      </c>
      <c r="BA18" s="184">
        <f>SUBTOTAL(9,BA14:BA17)</f>
        <v>10097</v>
      </c>
      <c r="BB18" s="184">
        <f>SUBTOTAL(9,BB14:BB17)</f>
        <v>1807</v>
      </c>
      <c r="BC18" s="184">
        <f>SUBTOTAL(9,BC14:BC17)</f>
        <v>915</v>
      </c>
      <c r="BD18" s="205">
        <f>IF(ISNUMBER(BA18/AZ18),BA18/AZ18," - ")</f>
        <v>1.0139586262301667</v>
      </c>
      <c r="BE18" s="206">
        <f>IF(ISNUMBER(BB18/BA18),BB18/BA18, " - ")</f>
        <v>0.17896404872734475</v>
      </c>
      <c r="BF18" s="206">
        <f>IF(ISNUMBER(BC18/BA18),BC18/BA18, " - ")</f>
        <v>9.0620976527681488E-2</v>
      </c>
      <c r="BG18" s="207">
        <f>IF(ISNUMBER((AY18+AZ18)/BA18),(AY18+AZ18)/BA18," - ")</f>
        <v>1.1509359215608597</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4470</v>
      </c>
      <c r="J19" s="134">
        <f t="shared" si="18"/>
        <v>13972</v>
      </c>
      <c r="K19" s="134">
        <f t="shared" si="18"/>
        <v>12653</v>
      </c>
      <c r="L19" s="134">
        <f t="shared" si="18"/>
        <v>5824</v>
      </c>
      <c r="M19" s="134">
        <f t="shared" si="18"/>
        <v>1927</v>
      </c>
      <c r="N19" s="134">
        <f t="shared" si="18"/>
        <v>7784</v>
      </c>
      <c r="O19" s="134">
        <f t="shared" si="18"/>
        <v>2074</v>
      </c>
      <c r="P19" s="134">
        <f t="shared" si="18"/>
        <v>1457</v>
      </c>
      <c r="Q19" s="134">
        <f t="shared" si="18"/>
        <v>2165</v>
      </c>
      <c r="R19" s="134">
        <f t="shared" si="18"/>
        <v>4151</v>
      </c>
      <c r="S19" s="134">
        <f t="shared" si="18"/>
        <v>3823</v>
      </c>
      <c r="T19" s="134">
        <f t="shared" si="18"/>
        <v>14402</v>
      </c>
      <c r="U19" s="134">
        <f t="shared" si="18"/>
        <v>14037</v>
      </c>
      <c r="V19" s="134">
        <f t="shared" si="18"/>
        <v>4470</v>
      </c>
      <c r="W19" s="134">
        <f t="shared" si="18"/>
        <v>1759</v>
      </c>
      <c r="X19" s="134">
        <f t="shared" si="18"/>
        <v>9435</v>
      </c>
      <c r="Y19" s="134">
        <f t="shared" si="18"/>
        <v>93</v>
      </c>
      <c r="Z19" s="134">
        <f t="shared" si="18"/>
        <v>265</v>
      </c>
      <c r="AA19" s="134">
        <f t="shared" si="18"/>
        <v>250</v>
      </c>
      <c r="AB19" s="134">
        <f t="shared" si="18"/>
        <v>108</v>
      </c>
      <c r="AC19" s="134">
        <f t="shared" si="18"/>
        <v>0</v>
      </c>
      <c r="AD19" s="134">
        <f t="shared" si="18"/>
        <v>3</v>
      </c>
      <c r="AE19" s="134">
        <f t="shared" si="18"/>
        <v>3</v>
      </c>
      <c r="AF19" s="134">
        <f t="shared" si="18"/>
        <v>0</v>
      </c>
      <c r="AG19" s="134">
        <f t="shared" si="18"/>
        <v>67</v>
      </c>
      <c r="AH19" s="134">
        <f t="shared" si="18"/>
        <v>301</v>
      </c>
      <c r="AI19" s="134">
        <f t="shared" si="18"/>
        <v>275</v>
      </c>
      <c r="AJ19" s="134">
        <f t="shared" si="18"/>
        <v>93</v>
      </c>
      <c r="AK19" s="134">
        <f t="shared" si="18"/>
        <v>8</v>
      </c>
      <c r="AL19" s="134">
        <f t="shared" si="18"/>
        <v>14</v>
      </c>
      <c r="AM19" s="134">
        <f t="shared" si="18"/>
        <v>22</v>
      </c>
      <c r="AN19" s="210">
        <f t="shared" si="18"/>
        <v>0</v>
      </c>
      <c r="AO19" s="211">
        <v>6</v>
      </c>
      <c r="AP19" s="211">
        <v>5</v>
      </c>
      <c r="AQ19" s="211">
        <v>5</v>
      </c>
      <c r="AR19" s="211">
        <v>5</v>
      </c>
      <c r="AS19" s="153">
        <f t="shared" si="18"/>
        <v>0</v>
      </c>
      <c r="AT19" s="153">
        <f t="shared" si="18"/>
        <v>0</v>
      </c>
      <c r="AU19" s="211"/>
      <c r="AV19" s="212"/>
      <c r="AW19" s="211"/>
      <c r="AX19" s="212"/>
      <c r="AY19" s="133">
        <f>SUBTOTAL(9,AY9:AY18)</f>
        <v>3890</v>
      </c>
      <c r="AZ19" s="134">
        <f>SUBTOTAL(9,AZ9:AZ18)</f>
        <v>14703</v>
      </c>
      <c r="BA19" s="134">
        <f>SUBTOTAL(9,BA9:BA18)</f>
        <v>14312</v>
      </c>
      <c r="BB19" s="134">
        <f>SUBTOTAL(9,BB9:BB18)</f>
        <v>4563</v>
      </c>
      <c r="BC19" s="135">
        <f>SUBTOTAL(9,BC9:BC18)</f>
        <v>2905</v>
      </c>
      <c r="BD19" s="213">
        <f>IF(ISNUMBER(BA19/AZ19),BA19/AZ19," - ")</f>
        <v>0.97340678773039513</v>
      </c>
      <c r="BE19" s="210">
        <f>IF(ISNUMBER(BB19/BA19),BB19/BA19, " - ")</f>
        <v>0.3188233650083846</v>
      </c>
      <c r="BF19" s="210">
        <f>IF(ISNUMBER(BC19/BA19),BC19/BA19, " - ")</f>
        <v>0.20297652319731693</v>
      </c>
      <c r="BG19" s="135">
        <f>IF(ISNUMBER((AY19+AZ19)/BA19),(AY19+AZ19)/BA19," - ")</f>
        <v>1.2991196198993851</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h4O+JTQNRuFFIepTrTZpQ0ugPR2+zuogCggunnzCYZtE7AS/GR7iN3r4viefgAb++FzfhtKaXzZ/dvpp1WBnQ==" saltValue="L1s0mg25SMnK1s3S+IsED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88hBkxh/xs2wSqnaF0PNApTdFnCkRRKQCsShEHj9V6dvG4DcRm7haI5Kg3NXYxV50Rk+WztD2qDBJIztrE09g==" saltValue="jLPCybn6QREKCUAzw3hVM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MOTRIL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50</v>
      </c>
      <c r="G10" s="333">
        <f>IF(ISNUMBER(Datos!I10),Datos!I10," - ")</f>
        <v>50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84</v>
      </c>
      <c r="AC10" s="226">
        <f>IF(ISNUMBER(Datos!Q10),Datos!Q10," - ")</f>
        <v>29</v>
      </c>
      <c r="AD10" s="334"/>
      <c r="AE10" s="484"/>
      <c r="AF10" s="332">
        <f>IF(ISNUMBER(Datos!L10),Datos!L10,"-")</f>
        <v>59</v>
      </c>
      <c r="AG10" s="334"/>
      <c r="AH10" s="334"/>
      <c r="AI10" s="334"/>
      <c r="AJ10" s="334"/>
      <c r="AK10" s="334"/>
      <c r="AL10" s="479"/>
      <c r="AM10" s="335">
        <f>IF(ISNUMBER(Datos!R10),Datos!R10," - ")</f>
        <v>17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34</v>
      </c>
      <c r="BD10" s="229">
        <f>IF(ISNUMBER(Datos!N10),Datos!N10," - ")</f>
        <v>16</v>
      </c>
      <c r="BE10" s="229" t="str">
        <f>IF(ISNUMBER(Datos!BW10),Datos!BW10," - ")</f>
        <v xml:space="preserve"> - </v>
      </c>
      <c r="BF10" s="228" t="str">
        <f>IF(ISNUMBER(Datos!BX10),Datos!BX10," - ")</f>
        <v xml:space="preserve"> - </v>
      </c>
      <c r="BG10" s="243">
        <f>IF(ISNUMBER(Datos!K10/Datos!J10),Datos!K10/Datos!J10," - ")</f>
        <v>0.90322580645161288</v>
      </c>
      <c r="BH10" s="260">
        <f>IF(ISNUMBER(((Datos!L10/Datos!K10)*11)/factor_trimestre),((Datos!L10/Datos!K10)*11)/factor_trimestre," - ")</f>
        <v>7.7261904761904754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0.21428571428571427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265</v>
      </c>
      <c r="O12" s="334"/>
      <c r="P12" s="334"/>
      <c r="Q12" s="226">
        <f>IF(ISNUMBER(Datos!P12),Datos!P12,0)</f>
        <v>1151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1943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108</v>
      </c>
      <c r="AI12" s="334" t="str">
        <f>IF(ISNUMBER(Datos!CD12),Datos!CD12,"-")</f>
        <v>-</v>
      </c>
      <c r="AJ12" s="334" t="str">
        <f>IF(ISNUMBER(Datos!EN12),Datos!EN12," - ")</f>
        <v xml:space="preserve"> - </v>
      </c>
      <c r="AK12" s="334"/>
      <c r="AL12" s="479"/>
      <c r="AM12" s="335">
        <f>IF(ISNUMBER(Datos!R12),Datos!R12," - ")</f>
        <v>3893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941</v>
      </c>
      <c r="BD12" s="229">
        <f>IF(ISNUMBER(Datos!N12),Datos!N12," - ")</f>
        <v>2183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0.80198019801980203</v>
      </c>
      <c r="BH12" s="260">
        <f>IF(ISNUMBER(((IF(J_V="SI",Datos!L12/Datos!K12,(Datos!L12+Datos!AB12)/(Datos!K12+Datos!AA12)))*11)/factor_trimestre),((IF(J_V="SI",Datos!L12/Datos!K12,(Datos!L12+Datos!AB12)/(Datos!K12+Datos!AA12)))*11)/factor_trimestre," - ")</f>
        <v>9.2782186948853624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-0.16905016008537888</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5</v>
      </c>
      <c r="F13" s="898">
        <f t="shared" si="0"/>
        <v>50</v>
      </c>
      <c r="G13" s="898">
        <f t="shared" si="0"/>
        <v>50</v>
      </c>
      <c r="H13" s="899">
        <f t="shared" si="0"/>
        <v>0</v>
      </c>
      <c r="I13" s="898">
        <f t="shared" si="0"/>
        <v>0</v>
      </c>
      <c r="J13" s="867">
        <f t="shared" si="0"/>
        <v>0</v>
      </c>
      <c r="K13" s="867">
        <f t="shared" si="0"/>
        <v>0</v>
      </c>
      <c r="L13" s="899">
        <f t="shared" si="0"/>
        <v>0</v>
      </c>
      <c r="M13" s="899">
        <f t="shared" si="0"/>
        <v>0</v>
      </c>
      <c r="N13" s="899">
        <f t="shared" si="0"/>
        <v>265</v>
      </c>
      <c r="O13" s="900">
        <f t="shared" si="0"/>
        <v>0</v>
      </c>
      <c r="P13" s="900">
        <f t="shared" si="0"/>
        <v>0</v>
      </c>
      <c r="Q13" s="899">
        <f t="shared" si="0"/>
        <v>1183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84</v>
      </c>
      <c r="AC13" s="899">
        <f t="shared" si="1"/>
        <v>1972</v>
      </c>
      <c r="AD13" s="899">
        <f t="shared" si="1"/>
        <v>0</v>
      </c>
      <c r="AE13" s="899">
        <f t="shared" si="1"/>
        <v>0</v>
      </c>
      <c r="AF13" s="899">
        <f t="shared" si="1"/>
        <v>59</v>
      </c>
      <c r="AG13" s="899">
        <f t="shared" si="1"/>
        <v>0</v>
      </c>
      <c r="AH13" s="899">
        <f t="shared" si="1"/>
        <v>108</v>
      </c>
      <c r="AI13" s="899">
        <f t="shared" si="1"/>
        <v>0</v>
      </c>
      <c r="AJ13" s="899">
        <f t="shared" si="1"/>
        <v>0</v>
      </c>
      <c r="AK13" s="899">
        <f t="shared" si="1"/>
        <v>0</v>
      </c>
      <c r="AL13" s="899">
        <f t="shared" si="1"/>
        <v>0</v>
      </c>
      <c r="AM13" s="899">
        <f t="shared" si="1"/>
        <v>3910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975</v>
      </c>
      <c r="BD13" s="899">
        <f t="shared" si="1"/>
        <v>2199</v>
      </c>
      <c r="BE13" s="899">
        <f t="shared" si="1"/>
        <v>0</v>
      </c>
      <c r="BF13" s="899">
        <f t="shared" si="1"/>
        <v>0</v>
      </c>
      <c r="BG13" s="899">
        <f>IF(ISNUMBER(Datos!K13/Datos!J13),Datos!K13/Datos!J13," - ")</f>
        <v>0.79686360320933625</v>
      </c>
      <c r="BH13" s="903">
        <f>IF(ISNUMBER(((Datos!L13/Datos!K13)*11)/factor_trimestre),((Datos!L13/Datos!K13)*11)/factor_trimestre," - ")</f>
        <v>9.5073226544622429</v>
      </c>
      <c r="BI13" s="899">
        <f>IF(ISNUMBER('Resol  Asuntos'!D13/NºAsuntos!G13),'Resol  Asuntos'!D13/NºAsuntos!G13," - ")</f>
        <v>0.21103896103896103</v>
      </c>
      <c r="BJ13" s="899" t="str">
        <f>IF(ISNUMBER(Datos!CI13/Datos!CJ13),Datos!CI13/Datos!CJ13," - ")</f>
        <v xml:space="preserve"> - </v>
      </c>
      <c r="BK13" s="899">
        <f>SUBTOTAL(9,BK8:BK12)</f>
        <v>0</v>
      </c>
      <c r="BL13" s="899">
        <f>IF(ISNUMBER((I13-AB13+L13)/(F13)),(I13-AB13+L13)/(F13)," - ")</f>
        <v>-1.68</v>
      </c>
      <c r="BM13" s="904">
        <f>SUBTOTAL(9,BM9:BM12)</f>
        <v>4.5235554200335398E-2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1674</v>
      </c>
      <c r="G16" s="598">
        <f>IF(ISNUMBER(IF(D_I="SI",Datos!I16,Datos!I16+Datos!AC16)),IF(D_I="SI",Datos!I16,Datos!I16+Datos!AC16)," - ")</f>
        <v>1658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263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7498</v>
      </c>
      <c r="AC16" s="226">
        <f>IF(ISNUMBER(Datos!Q16),Datos!Q16," - ")</f>
        <v>175</v>
      </c>
      <c r="AD16" s="334"/>
      <c r="AE16" s="484"/>
      <c r="AF16" s="596">
        <f>IF(ISNUMBER(IF(D_I="SI",Datos!L16,Datos!L16+Datos!AF16)),IF(D_I="SI",Datos!L16,Datos!L16+Datos!AF16)," - ")</f>
        <v>1835</v>
      </c>
      <c r="AG16" s="334"/>
      <c r="AH16" s="334"/>
      <c r="AI16" s="334"/>
      <c r="AJ16" s="334"/>
      <c r="AK16" s="334"/>
      <c r="AL16" s="479"/>
      <c r="AM16" s="335">
        <f>IF(ISNUMBER(Datos!R16),Datos!R16," - ")</f>
        <v>234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770</v>
      </c>
      <c r="BD16" s="229">
        <f>IF(ISNUMBER(Datos!N16),Datos!N16," - ")</f>
        <v>5246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0.97897897897897901</v>
      </c>
      <c r="BH16" s="260">
        <f>IF(ISNUMBER(((IF(D_I="SI",Datos!L16/Datos!K16,(Datos!L16+Datos!AF16)/(Datos!K16+Datos!AE16)))*11)/factor_trimestre),((IF(D_I="SI",Datos!L16/Datos!K16,(Datos!L16+Datos!AF16)/(Datos!K16+Datos!AE16)))*11)/factor_trimestre," - ")</f>
        <v>2.6920512136569754</v>
      </c>
      <c r="BI16" s="243">
        <f>IF(ISNUMBER('Resol  Asuntos'!D16/NºAsuntos!G16),'Resol  Asuntos'!D16/NºAsuntos!G16," - ")</f>
        <v>0.10269405174713257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785</v>
      </c>
      <c r="AC17" s="226">
        <f>IF(ISNUMBER(Datos!Q17),Datos!Q17," - ")</f>
        <v>18</v>
      </c>
      <c r="AD17" s="334"/>
      <c r="AE17" s="484"/>
      <c r="AF17" s="332">
        <f>IF(ISNUMBER(Datos!L17),Datos!L17,"-")</f>
        <v>212</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182</v>
      </c>
      <c r="BD17" s="229">
        <f>IF(ISNUMBER(Datos!N17),Datos!N17," - ")</f>
        <v>339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0.94692400482509043</v>
      </c>
      <c r="BH17" s="260">
        <f>IF(ISNUMBER(((IF(D_I="SI",Datos!L17/Datos!K17,(Datos!L17+Datos!AF17)/(Datos!K17+Datos!AE17)))*11)/factor_trimestre),((IF(D_I="SI",Datos!L17/Datos!K17,(Datos!L17+Datos!AF17)/(Datos!K17+Datos!AE17)))*11)/factor_trimestre," - ")</f>
        <v>2.9707006369426749</v>
      </c>
      <c r="BI17" s="243">
        <f>IF(ISNUMBER('Resol  Asuntos'!D17/NºAsuntos!G17),'Resol  Asuntos'!D17/NºAsuntos!G17," - ")</f>
        <v>0.23184713375796179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1674</v>
      </c>
      <c r="G18" s="898">
        <f>SUBTOTAL(9,G15:G17)</f>
        <v>1807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274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8283</v>
      </c>
      <c r="AC18" s="899">
        <f t="shared" si="4"/>
        <v>193</v>
      </c>
      <c r="AD18" s="899">
        <f t="shared" si="4"/>
        <v>0</v>
      </c>
      <c r="AE18" s="899">
        <f t="shared" si="4"/>
        <v>0</v>
      </c>
      <c r="AF18" s="899">
        <f t="shared" si="4"/>
        <v>2047</v>
      </c>
      <c r="AG18" s="899">
        <f t="shared" si="4"/>
        <v>0</v>
      </c>
      <c r="AH18" s="899">
        <f t="shared" si="4"/>
        <v>0</v>
      </c>
      <c r="AI18" s="899">
        <f t="shared" si="4"/>
        <v>0</v>
      </c>
      <c r="AJ18" s="899">
        <f t="shared" si="4"/>
        <v>0</v>
      </c>
      <c r="AK18" s="899">
        <f t="shared" si="4"/>
        <v>0</v>
      </c>
      <c r="AL18" s="899">
        <f t="shared" si="4"/>
        <v>0</v>
      </c>
      <c r="AM18" s="899">
        <f t="shared" si="4"/>
        <v>241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952</v>
      </c>
      <c r="BD18" s="899">
        <f t="shared" si="4"/>
        <v>5585</v>
      </c>
      <c r="BE18" s="899">
        <f t="shared" si="4"/>
        <v>0</v>
      </c>
      <c r="BF18" s="899">
        <f t="shared" si="4"/>
        <v>0</v>
      </c>
      <c r="BG18" s="899">
        <f>IF(ISNUMBER(Datos!K18/Datos!J18),Datos!K18/Datos!J18," - ")</f>
        <v>0.97584825636192274</v>
      </c>
      <c r="BH18" s="903">
        <f>IF(ISNUMBER(((Datos!L18/Datos!K18)*11)/factor_trimestre),((Datos!L18/Datos!K18)*11)/factor_trimestre," - ")</f>
        <v>2.7184594953519259</v>
      </c>
      <c r="BI18" s="899">
        <f>SUBTOTAL(9,BI15:BI17)</f>
        <v>0.33454118550509437</v>
      </c>
      <c r="BJ18" s="899">
        <f>SUBTOTAL(9,BJ15:BJ17)</f>
        <v>0</v>
      </c>
      <c r="BK18" s="899">
        <f>SUBTOTAL(9,BK15:BK17)</f>
        <v>0</v>
      </c>
      <c r="BL18" s="899">
        <f>IF(ISNUMBER((I18-AB18+L18)/(F18)),(I18-AB18+L18)/(F18)," - ")</f>
        <v>-4.9480286738351253</v>
      </c>
      <c r="BM18" s="905">
        <f>IF(ISNUMBER((Datos!P18-Datos!Q18)/(Datos!R18-Datos!P18+Datos!Q18)),(Datos!P18-Datos!Q18)/(Datos!R18-Datos!P18+Datos!Q18)," - ")</f>
        <v>0.50624999999999998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10</v>
      </c>
      <c r="F19" s="820">
        <f t="shared" si="6"/>
        <v>1724</v>
      </c>
      <c r="G19" s="820">
        <f t="shared" si="6"/>
        <v>1857</v>
      </c>
      <c r="H19" s="822">
        <f t="shared" si="6"/>
        <v>0</v>
      </c>
      <c r="I19" s="820">
        <f t="shared" si="6"/>
        <v>0</v>
      </c>
      <c r="J19" s="822">
        <f t="shared" si="6"/>
        <v>0</v>
      </c>
      <c r="K19" s="822">
        <f t="shared" si="6"/>
        <v>0</v>
      </c>
      <c r="L19" s="881">
        <f t="shared" si="6"/>
        <v>0</v>
      </c>
      <c r="M19" s="881">
        <f t="shared" si="6"/>
        <v>0</v>
      </c>
      <c r="N19" s="881">
        <f t="shared" si="6"/>
        <v>265</v>
      </c>
      <c r="O19" s="881">
        <f t="shared" si="6"/>
        <v>0</v>
      </c>
      <c r="P19" s="881">
        <f t="shared" si="6"/>
        <v>0</v>
      </c>
      <c r="Q19" s="822">
        <f t="shared" si="6"/>
        <v>1457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8367</v>
      </c>
      <c r="AC19" s="821">
        <f t="shared" si="7"/>
        <v>2165</v>
      </c>
      <c r="AD19" s="821">
        <f t="shared" si="7"/>
        <v>0</v>
      </c>
      <c r="AE19" s="821">
        <f t="shared" si="7"/>
        <v>0</v>
      </c>
      <c r="AF19" s="828">
        <f t="shared" si="7"/>
        <v>2106</v>
      </c>
      <c r="AG19" s="828">
        <f t="shared" si="7"/>
        <v>0</v>
      </c>
      <c r="AH19" s="828">
        <f t="shared" si="7"/>
        <v>108</v>
      </c>
      <c r="AI19" s="828">
        <f t="shared" si="7"/>
        <v>0</v>
      </c>
      <c r="AJ19" s="821">
        <f t="shared" si="7"/>
        <v>0</v>
      </c>
      <c r="AK19" s="828">
        <f t="shared" si="7"/>
        <v>0</v>
      </c>
      <c r="AL19" s="828">
        <f t="shared" si="7"/>
        <v>0</v>
      </c>
      <c r="AM19" s="828">
        <f t="shared" si="7"/>
        <v>4151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1927</v>
      </c>
      <c r="BD19" s="820">
        <f t="shared" si="7"/>
        <v>7784</v>
      </c>
      <c r="BE19" s="820">
        <f t="shared" si="7"/>
        <v>0</v>
      </c>
      <c r="BF19" s="830">
        <f t="shared" si="7"/>
        <v>0</v>
      </c>
      <c r="BG19" s="915">
        <f>IF(ISNUMBER(Datos!K19/Datos!J19),Datos!K19/Datos!J19," - ")</f>
        <v>0.90559690810191817</v>
      </c>
      <c r="BH19" s="915">
        <f>IF(ISNUMBER(((Datos!L19/Datos!K19)*11)/factor_trimestre),((Datos!L19/Datos!K19)*11)/factor_trimestre," - ")</f>
        <v>5.0631470797439349</v>
      </c>
      <c r="BI19" s="813">
        <f>IF(ISNUMBER(Datos!J19/Datos!I19),Datos!J19/Datos!I19," - ")</f>
        <v>3.1257270693512305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-4.8532482598607887</v>
      </c>
      <c r="BM19" s="889">
        <f>IF(ISNUMBER((Datos!P19-Datos!Q19+R19)/(Datos!R19-Datos!P19+Datos!Q19-R19)),(Datos!P19-Datos!Q19+R19)/(Datos!R19-Datos!P19+Datos!Q19-R19)," - ")</f>
        <v>-0.14570899362008644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742.8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937.61683716395225</v>
      </c>
      <c r="G21" s="552">
        <f>IF(ISNUMBER(STDEV(G8:G18)),STDEV(G8:G18),"-")</f>
        <v>905.90490670930797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4166.9256892822077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422.856319175517</v>
      </c>
      <c r="BD21" s="551"/>
      <c r="BE21" s="551">
        <f>IF(ISNUMBER(STDEV(BE8:BE18)),STDEV(BE8:BE18),"-")</f>
        <v>0</v>
      </c>
      <c r="BF21" s="556">
        <f>IF(ISNUMBER(STDEV(BF8:BF18)),STDEV(BF8:BF18),"-")</f>
        <v>0</v>
      </c>
      <c r="BG21" s="775">
        <f>IF(ISNUMBER(STDEV(BG8:BG18)),STDEV(BG8:BG18),"-")</f>
        <v>8.3000566198809522E-2</v>
      </c>
      <c r="BH21" s="776">
        <f>IF(ISNUMBER(STDEV(BH8:BH18)),STDEV(BH8:BH18),"-")</f>
        <v>3.3678238965707759</v>
      </c>
      <c r="BI21" s="249">
        <f>IF(ISNUMBER(STDEV(BI8:BI18)),STDEV(BI8:BI18),"-")</f>
        <v>9.504563779152031E-2</v>
      </c>
      <c r="BJ21" s="230" t="str">
        <f>IF(ISNUMBER(BL21/BM21),BL21/BM21," - ")</f>
        <v xml:space="preserve"> - </v>
      </c>
      <c r="BK21" s="575"/>
      <c r="BL21" s="559">
        <f>IF(ISNUMBER(STDEV(BL8:BL18)),STDEV(BL8:BL18),"-")</f>
        <v>2.3108452363808967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39r5ZrPtKawButuYMKEXSi91hlhpWBPCWYQz0lfOGNcByWiaxWbat+5ySDOII5Ba6hDluqSMU3RREuugD1AQ7w==" saltValue="NkcNxsk8tkSJF7zLsGL8Q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GRANADA  Resumenes por Partidos Judiciales  MOTRIL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50</v>
      </c>
      <c r="G10" s="225">
        <f>IF(ISNUMBER(Datos!I10),Datos!I10," - ")</f>
        <v>50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84</v>
      </c>
      <c r="Z10" s="619">
        <f>IF(ISNUMBER(Datos!Q10),Datos!Q10," - ")</f>
        <v>29</v>
      </c>
      <c r="AA10" s="332">
        <f>IF(ISNUMBER(Datos!L10),Datos!L10,"-")</f>
        <v>59</v>
      </c>
      <c r="AB10" s="334"/>
      <c r="AC10" s="334"/>
      <c r="AD10" s="484"/>
      <c r="AE10" s="484">
        <f>IF(ISNUMBER(Datos!R10),Datos!R10," - ")</f>
        <v>17</v>
      </c>
      <c r="AF10" s="229" t="str">
        <f>IF(ISNUMBER(Datos!BV10),Datos!BV10," - ")</f>
        <v xml:space="preserve"> - </v>
      </c>
      <c r="AG10" s="225" t="str">
        <f>IF(ISNUMBER(Datos!DV10),Datos!DV10," - ")</f>
        <v xml:space="preserve"> - </v>
      </c>
      <c r="AH10" s="298"/>
      <c r="AI10" s="227"/>
      <c r="AJ10" s="225">
        <f>IF(ISNUMBER(Datos!M10),Datos!M10," - ")</f>
        <v>34</v>
      </c>
      <c r="AK10" s="229">
        <f>IF(ISNUMBER(Datos!N10),Datos!N10," - ")</f>
        <v>16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7.7261904761904754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0.21428571428571427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1151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1943</v>
      </c>
      <c r="AA12" s="332" t="str">
        <f>IF(ISNUMBER(IF(J_V="SI",Datos!L12,Datos!L12+Datos!AB12)-IF(Monitorios="SI",Datos!CD12,0)),
                          IF(J_V="SI",Datos!L12,Datos!L12+Datos!AB12)-IF(Monitorios="SI",Datos!CD12,0),
                          " - ")</f>
        <v xml:space="preserve"> - </v>
      </c>
      <c r="AB12" s="334"/>
      <c r="AC12" s="334"/>
      <c r="AD12" s="484"/>
      <c r="AE12" s="484">
        <f>IF(ISNUMBER(Datos!R12),Datos!R12," - ")</f>
        <v>3893</v>
      </c>
      <c r="AF12" s="229" t="str">
        <f>IF(ISNUMBER(Datos!BV12),Datos!BV12," - ")</f>
        <v xml:space="preserve"> - </v>
      </c>
      <c r="AG12" s="225" t="str">
        <f>IF(ISNUMBER(Datos!DV12),Datos!DV12," - ")</f>
        <v xml:space="preserve"> - </v>
      </c>
      <c r="AH12" s="298"/>
      <c r="AI12" s="227"/>
      <c r="AJ12" s="225">
        <f>IF(ISNUMBER(Datos!M12),Datos!M12," - ")</f>
        <v>941</v>
      </c>
      <c r="AK12" s="229">
        <f>IF(ISNUMBER(Datos!N12),Datos!N12," - ")</f>
        <v>2183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9.2782186948853624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-0.16905016008537888</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5</v>
      </c>
      <c r="F13" s="898">
        <f>SUBTOTAL(9,F8:F12)</f>
        <v>50</v>
      </c>
      <c r="G13" s="898">
        <f>SUBTOTAL(9,G8:G12)</f>
        <v>50</v>
      </c>
      <c r="H13" s="908"/>
      <c r="I13" s="898">
        <f t="shared" ref="I13:N13" si="0">SUBTOTAL(9,I8:I12)</f>
        <v>0</v>
      </c>
      <c r="J13" s="867">
        <f t="shared" si="0"/>
        <v>0</v>
      </c>
      <c r="K13" s="908">
        <f t="shared" si="0"/>
        <v>0</v>
      </c>
      <c r="L13" s="908">
        <f t="shared" si="0"/>
        <v>0</v>
      </c>
      <c r="M13" s="908">
        <f t="shared" si="0"/>
        <v>0</v>
      </c>
      <c r="N13" s="908">
        <f t="shared" si="0"/>
        <v>1183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84</v>
      </c>
      <c r="Z13" s="907">
        <f t="shared" si="2"/>
        <v>1972</v>
      </c>
      <c r="AA13" s="900">
        <f t="shared" si="2"/>
        <v>59</v>
      </c>
      <c r="AB13" s="900">
        <f t="shared" si="2"/>
        <v>0</v>
      </c>
      <c r="AC13" s="900">
        <f t="shared" si="2"/>
        <v>0</v>
      </c>
      <c r="AD13" s="900">
        <f t="shared" si="2"/>
        <v>0</v>
      </c>
      <c r="AE13" s="900">
        <f t="shared" si="2"/>
        <v>3910</v>
      </c>
      <c r="AF13" s="908">
        <f t="shared" si="2"/>
        <v>0</v>
      </c>
      <c r="AG13" s="908">
        <f t="shared" si="2"/>
        <v>0</v>
      </c>
      <c r="AH13" s="908">
        <f t="shared" si="2"/>
        <v>0</v>
      </c>
      <c r="AI13" s="908">
        <f t="shared" si="2"/>
        <v>0</v>
      </c>
      <c r="AJ13" s="908">
        <f t="shared" si="2"/>
        <v>975</v>
      </c>
      <c r="AK13" s="908">
        <f t="shared" si="2"/>
        <v>2199</v>
      </c>
      <c r="AL13" s="908">
        <f t="shared" si="2"/>
        <v>0</v>
      </c>
      <c r="AM13" s="908">
        <f t="shared" si="2"/>
        <v>0</v>
      </c>
      <c r="AN13" s="908">
        <f t="shared" si="2"/>
        <v>0</v>
      </c>
      <c r="AO13" s="904">
        <f>IF(ISNUMBER(((NºAsuntos!I13/NºAsuntos!G13)*11)/factor_trimestre),((NºAsuntos!I13/NºAsuntos!G13)*11)/factor_trimestre," - ")</f>
        <v>9.25</v>
      </c>
      <c r="AP13" s="910" t="str">
        <f>IF(ISNUMBER(Datos!CI13/Datos!CJ13),Datos!CI13/Datos!CJ13," - ")</f>
        <v xml:space="preserve"> - </v>
      </c>
      <c r="AQ13" s="928">
        <f t="shared" ref="AQ13:AV13" si="3">SUBTOTAL(9,AQ9:AQ12)</f>
        <v>0</v>
      </c>
      <c r="AR13" s="928">
        <f t="shared" si="3"/>
        <v>4.5235554200335398E-2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1674</v>
      </c>
      <c r="G16" s="225">
        <f>IF(ISNUMBER(IF(D_I="SI",Datos!I16,Datos!I16+Datos!AC16)),IF(D_I="SI",Datos!I16,Datos!I16+Datos!AC16)," - ")</f>
        <v>1658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263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7498</v>
      </c>
      <c r="Z16" s="619">
        <f>IF(ISNUMBER(Datos!Q16),Datos!Q16," - ")</f>
        <v>175</v>
      </c>
      <c r="AA16" s="332">
        <f>IF(ISNUMBER(IF(D_I="SI",Datos!L16,Datos!L16+Datos!AF16)),IF(D_I="SI",Datos!L16,Datos!L16+Datos!AF16)," - ")</f>
        <v>1835</v>
      </c>
      <c r="AB16" s="334"/>
      <c r="AC16" s="334"/>
      <c r="AD16" s="484"/>
      <c r="AE16" s="484">
        <f>IF(ISNUMBER(Datos!R16),Datos!R16," - ")</f>
        <v>234</v>
      </c>
      <c r="AF16" s="229" t="str">
        <f>IF(ISNUMBER(Datos!BV16),Datos!BV16," - ")</f>
        <v xml:space="preserve"> - </v>
      </c>
      <c r="AG16" s="225"/>
      <c r="AH16" s="298"/>
      <c r="AI16" s="227"/>
      <c r="AJ16" s="225">
        <f>IF(ISNUMBER(Datos!M16),Datos!M16," - ")</f>
        <v>770</v>
      </c>
      <c r="AK16" s="229">
        <f>IF(ISNUMBER(Datos!N16),Datos!N16," - ")</f>
        <v>5246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2.6920512136569754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785</v>
      </c>
      <c r="Z17" s="619">
        <f>IF(ISNUMBER(Datos!Q17),Datos!Q17," - ")</f>
        <v>18</v>
      </c>
      <c r="AA17" s="332">
        <f>IF(ISNUMBER(Datos!L17),Datos!L17,"-")</f>
        <v>212</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182</v>
      </c>
      <c r="AK17" s="229">
        <f>IF(ISNUMBER(Datos!N17),Datos!N17," - ")</f>
        <v>339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2.9707006369426749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1674</v>
      </c>
      <c r="G18" s="898">
        <f>SUBTOTAL(9,G15:G17)</f>
        <v>1807</v>
      </c>
      <c r="H18" s="932">
        <f>SUBTOTAL(9,H15:H17)</f>
        <v>0</v>
      </c>
      <c r="I18" s="911">
        <f>SUBTOTAL(9,I15:I17)</f>
        <v>0</v>
      </c>
      <c r="J18" s="867">
        <f>SUBTOTAL(9,J14:J17)</f>
        <v>0</v>
      </c>
      <c r="K18" s="932">
        <f t="shared" ref="K18:S18" si="4">SUBTOTAL(9,K15:K17)</f>
        <v>0</v>
      </c>
      <c r="L18" s="932">
        <f t="shared" si="4"/>
        <v>0</v>
      </c>
      <c r="M18" s="932">
        <f t="shared" si="4"/>
        <v>0</v>
      </c>
      <c r="N18" s="932">
        <f t="shared" si="4"/>
        <v>274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8283</v>
      </c>
      <c r="Z18" s="932">
        <f t="shared" si="5"/>
        <v>193</v>
      </c>
      <c r="AA18" s="932">
        <f t="shared" si="5"/>
        <v>2047</v>
      </c>
      <c r="AB18" s="932">
        <f t="shared" si="5"/>
        <v>0</v>
      </c>
      <c r="AC18" s="932">
        <f t="shared" si="5"/>
        <v>0</v>
      </c>
      <c r="AD18" s="932">
        <f t="shared" si="5"/>
        <v>0</v>
      </c>
      <c r="AE18" s="932">
        <f t="shared" si="5"/>
        <v>241</v>
      </c>
      <c r="AF18" s="932">
        <f t="shared" si="5"/>
        <v>0</v>
      </c>
      <c r="AG18" s="932">
        <f t="shared" si="5"/>
        <v>0</v>
      </c>
      <c r="AH18" s="932">
        <f t="shared" si="5"/>
        <v>0</v>
      </c>
      <c r="AI18" s="932">
        <f t="shared" si="5"/>
        <v>0</v>
      </c>
      <c r="AJ18" s="932">
        <f t="shared" si="5"/>
        <v>952</v>
      </c>
      <c r="AK18" s="932">
        <f t="shared" si="5"/>
        <v>5585</v>
      </c>
      <c r="AL18" s="932">
        <f t="shared" si="5"/>
        <v>0</v>
      </c>
      <c r="AM18" s="932">
        <f t="shared" si="5"/>
        <v>0</v>
      </c>
      <c r="AN18" s="932">
        <f t="shared" si="5"/>
        <v>0</v>
      </c>
      <c r="AO18" s="934">
        <f>IF(ISNUMBER(((NºAsuntos!I18/NºAsuntos!G18)*11)/factor_trimestre),((NºAsuntos!I18/NºAsuntos!G18)*11)/factor_trimestre," - ")</f>
        <v>2.7184594953519259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1724</v>
      </c>
      <c r="G19" s="820">
        <f t="shared" si="7"/>
        <v>1857</v>
      </c>
      <c r="H19" s="821">
        <f t="shared" si="7"/>
        <v>0</v>
      </c>
      <c r="I19" s="820">
        <f t="shared" si="7"/>
        <v>0</v>
      </c>
      <c r="J19" s="822">
        <f t="shared" si="7"/>
        <v>0</v>
      </c>
      <c r="K19" s="820">
        <f t="shared" si="7"/>
        <v>0</v>
      </c>
      <c r="L19" s="823">
        <f t="shared" si="7"/>
        <v>0</v>
      </c>
      <c r="M19" s="820">
        <f t="shared" si="7"/>
        <v>0</v>
      </c>
      <c r="N19" s="821">
        <f t="shared" si="7"/>
        <v>1457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8367</v>
      </c>
      <c r="Z19" s="827">
        <f t="shared" si="8"/>
        <v>2165</v>
      </c>
      <c r="AA19" s="828">
        <f t="shared" si="8"/>
        <v>2106</v>
      </c>
      <c r="AB19" s="828">
        <f t="shared" si="8"/>
        <v>0</v>
      </c>
      <c r="AC19" s="828">
        <f t="shared" si="8"/>
        <v>0</v>
      </c>
      <c r="AD19" s="829">
        <f t="shared" si="8"/>
        <v>0</v>
      </c>
      <c r="AE19" s="829">
        <f t="shared" si="8"/>
        <v>4151</v>
      </c>
      <c r="AF19" s="830">
        <f t="shared" si="8"/>
        <v>0</v>
      </c>
      <c r="AG19" s="831">
        <f t="shared" si="8"/>
        <v>0</v>
      </c>
      <c r="AH19" s="832">
        <f t="shared" si="8"/>
        <v>0</v>
      </c>
      <c r="AI19" s="830">
        <f t="shared" si="8"/>
        <v>0</v>
      </c>
      <c r="AJ19" s="820">
        <f t="shared" si="8"/>
        <v>1927</v>
      </c>
      <c r="AK19" s="820">
        <f t="shared" si="8"/>
        <v>7784</v>
      </c>
      <c r="AL19" s="820">
        <f t="shared" si="8"/>
        <v>0</v>
      </c>
      <c r="AM19" s="833">
        <f t="shared" si="8"/>
        <v>0</v>
      </c>
      <c r="AN19" s="823">
        <f>IF(ISNUMBER(Datos!K19/Datos!J19),Datos!K19/Datos!J19," - ")</f>
        <v>0.90559690810191817</v>
      </c>
      <c r="AO19" s="823">
        <f>IF(ISNUMBER(FIND("06",Criterios!A8,1)),(IF(ISNUMBER(((Datos!R19/Datos!Q19)*11)/factor_trimestre),((Datos!R19/Datos!Q19)*11)/factor_trimestre," - ")),(IF(ISNUMBER(((Datos!L19/Datos!K19)*11)/factor_trimestre),((Datos!L19/Datos!K19)*11)/factor_trimestre," - ")))</f>
        <v>5.0631470797439349</v>
      </c>
      <c r="AP19" s="834" t="str">
        <f>IF(ISNUMBER(Datos!CI19/Datos!CJ19),Datos!CI19/Datos!CJ19," - ")</f>
        <v xml:space="preserve"> - </v>
      </c>
      <c r="AQ19" s="834">
        <f>IF(OR(ISNUMBER(FIND("01",Criterios!A8,1)),ISNUMBER(FIND("02",Criterios!A8,1)),ISNUMBER(FIND("03",Criterios!A8,1)),ISNUMBER(FIND("04",Criterios!A8,1))),(J19-Y19+K19)/(F19-K19),(I19-Y19+K19)/(F19-K19))</f>
        <v>-4.8532482598607887</v>
      </c>
      <c r="AR19" s="834">
        <f>IF(ISNUMBER((Datos!P19-Datos!Q19+O19)/(Datos!R19-Datos!P19+Datos!Q19-O19)),(Datos!P19-Datos!Q19+O19)/(Datos!R19-Datos!P19+Datos!Q19-O19)," - ")</f>
        <v>-0.14570899362008644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742.8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937.61683716395225</v>
      </c>
      <c r="G21" s="552">
        <f>IF(ISNUMBER(STDEV(G8:G18)),STDEV(G8:G18),"-")</f>
        <v>905.90490670930797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422.856319175517</v>
      </c>
      <c r="AK21" s="252"/>
      <c r="AL21" s="252">
        <f>IF(ISNUMBER(STDEV(AL8:AL18)),STDEV(AL8:AL18),"-")</f>
        <v>0</v>
      </c>
      <c r="AM21" s="254">
        <f>IF(ISNUMBER(STDEV(AM8:AM18)),STDEV(AM8:AM18),"-")</f>
        <v>0</v>
      </c>
      <c r="AN21" s="539">
        <f>IF(ISNUMBER(STDEV(AN8:AN18)),STDEV(AN8:AN18),"-")</f>
        <v>0</v>
      </c>
      <c r="AO21" s="540">
        <f>IF(ISNUMBER(STDEV(AO8:AO18)),STDEV(AO8:AO18),"-")</f>
        <v>3.3125936675177727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xKSqi+iLlFkghAp5mkQCDoAfRhYmkMj9jhKuWlX5ei/vacoR07hVEnUXBd2yuUDWTJjA+r0kH2jSkE46sL/0SQ==" saltValue="BgYUVj3pm6jSUAgrB7+Sg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KXKypmLShQBfDFIc6dPhZy+J0Yj3XttISIUVWjew0ZBix1iGd0EeKrFzNNoEIzIZYbhh5LESsJhX0ljHWUq6g==" saltValue="q3y3dakyisb5gAq3BFDCZ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p2g34aV8yYeUSoXazTFDZfYPROlFWcz2CTk6NwdRWz21rOGSfBzoFr4MhWDGGmq8ibKkVPNs/M7NZ32NcTKvg==" saltValue="2w0fq36bnrHZiMDBDi1+Q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MOTRIL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0.21103896103896103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0.14922708044521293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ocPV8l22pMuL90ALygEWznVRYeqBznntAtOoyeLTJpjLLYxtlfIzC/xzQfXGK6MCYNd42XdHAbS2q3xpjLpukg==" saltValue="b+yWkyX/4aMs92a7LK7/4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GoY5Sa7aoHNC7cYjKnSts65CQuIZWKuBbh2aMWcftk2XxDEg8NCKq7Uqp9PjtcxWuU+dJBaql0EGDbW+2nUVQ==" saltValue="SH/zMqcxKxa+V1pK3PBHE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GRANADA  Resumenes por Partidos Judiciales  MOTRIL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50</v>
      </c>
      <c r="G10" s="684">
        <f>IF(ISNUMBER(Datos!I10),Datos!I10," - ")</f>
        <v>50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84</v>
      </c>
      <c r="AC10" s="683" t="str">
        <f>IF(ISNUMBER(IF(D_I="SI",DatosP!K17,DatosP!K17+DatosP!AE17)),IF(D_I="SI",DatosP!K17,DatosP!K17+DatosP!AE17)," - ")</f>
        <v xml:space="preserve"> - </v>
      </c>
      <c r="AD10" s="685"/>
      <c r="AE10" s="685"/>
      <c r="AF10" s="688">
        <f>IF(ISNUMBER(Datos!L10),Datos!L10,"-")</f>
        <v>59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34</v>
      </c>
      <c r="AM10" s="690">
        <f>IF(ISNUMBER(Datos!N10+DatosP!N17),Datos!N10+DatosP!N17," - ")</f>
        <v>16</v>
      </c>
      <c r="AN10" s="690">
        <f>IF(ISNUMBER(Datos!BW10+DatosP!BW17),Datos!BW10+DatosP!BW17," - ")</f>
        <v>0</v>
      </c>
      <c r="AO10" s="691">
        <f>IF(ISNUMBER(Datos!BX10+DatosP!BX17),Datos!BX10+DatosP!BX17," - ")</f>
        <v>0</v>
      </c>
      <c r="AP10" s="693">
        <f>IF(ISNUMBER(((Datos!L10/Datos!K10)*11)/factor_trimestre),((Datos!L10/Datos!K10)*11)/factor_trimestre," - ")</f>
        <v>7.7261904761904754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1151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1943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3893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941</v>
      </c>
      <c r="AM12" s="690">
        <f>IF(ISNUMBER(Datos!N12+DatosP!N16),Datos!N12+DatosP!N16," - ")</f>
        <v>2183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9.2782186948853624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-0.16905016008537888</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50</v>
      </c>
      <c r="G13" s="938">
        <f t="shared" si="0"/>
        <v>50</v>
      </c>
      <c r="H13" s="938">
        <f t="shared" si="0"/>
        <v>0</v>
      </c>
      <c r="I13" s="940">
        <f t="shared" si="0"/>
        <v>0</v>
      </c>
      <c r="J13" s="939">
        <f t="shared" si="0"/>
        <v>0</v>
      </c>
      <c r="K13" s="939">
        <f t="shared" si="0"/>
        <v>0</v>
      </c>
      <c r="L13" s="941">
        <f t="shared" si="0"/>
        <v>0</v>
      </c>
      <c r="M13" s="941">
        <f t="shared" si="0"/>
        <v>0</v>
      </c>
      <c r="N13" s="939">
        <f t="shared" si="0"/>
        <v>1183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84</v>
      </c>
      <c r="AC13" s="939">
        <f t="shared" si="1"/>
        <v>0</v>
      </c>
      <c r="AD13" s="939">
        <f t="shared" si="1"/>
        <v>1943</v>
      </c>
      <c r="AE13" s="939">
        <f t="shared" si="1"/>
        <v>0</v>
      </c>
      <c r="AF13" s="939">
        <f t="shared" si="1"/>
        <v>59</v>
      </c>
      <c r="AG13" s="939">
        <f t="shared" si="1"/>
        <v>0</v>
      </c>
      <c r="AH13" s="939">
        <f t="shared" si="1"/>
        <v>3893</v>
      </c>
      <c r="AI13" s="939">
        <f t="shared" si="1"/>
        <v>0</v>
      </c>
      <c r="AJ13" s="939">
        <f t="shared" si="1"/>
        <v>0</v>
      </c>
      <c r="AK13" s="939">
        <f t="shared" si="1"/>
        <v>0</v>
      </c>
      <c r="AL13" s="939">
        <f t="shared" si="1"/>
        <v>975</v>
      </c>
      <c r="AM13" s="939">
        <f t="shared" si="1"/>
        <v>2199</v>
      </c>
      <c r="AN13" s="939">
        <f t="shared" si="1"/>
        <v>0</v>
      </c>
      <c r="AO13" s="939">
        <f t="shared" si="1"/>
        <v>0</v>
      </c>
      <c r="AP13" s="944">
        <f>IF(ISNUMBER(((Datos!L13/Datos!K13)*11)/factor_trimestre),((Datos!L13/Datos!K13)*11)/factor_trimestre," - ")</f>
        <v>9.5073226544622429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-1.68</v>
      </c>
      <c r="AU13" s="939" t="str">
        <f>IF(ISNUMBER((DatosP!#REF!-DatosP!#REF!+DatosP!#REF!)/(DatosP!#REF!+DatosP!#REF!-DatosP!#REF!-DatosP!#REF!)),(DatosP!#REF!-DatosP!#REF!+DatosP!#REF!)/(DatosP!#REF!+DatosP!#REF!-DatosP!#REF!-DatosP!#REF!)," - ")</f>
        <v xml:space="preserve"> - </v>
      </c>
      <c r="AV13" s="945">
        <f>SUBTOTAL(9,AV9:AV12)</f>
        <v>-0.16905016008537888</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2.7184594953519259</v>
      </c>
      <c r="AQ18" s="944">
        <f>IF(ISNUMBER(((Datos!M18/Datos!L18)*11)/factor_trimestre),((Datos!M18/Datos!L18)*11)/factor_trimestre," - ")</f>
        <v>5.1157791890571565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0.50624999999999998</v>
      </c>
      <c r="AW18" s="946">
        <f>IF(ISNUMBER((Datos!Q18-Datos!R18)/(Datos!S18-Datos!Q18+Datos!R18)),(Datos!Q18-Datos!R18)/(Datos!S18-Datos!Q18+Datos!R18)," - ")</f>
        <v>-2.8053769725306838E-2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50</v>
      </c>
      <c r="G19" s="951">
        <f t="shared" si="4"/>
        <v>50</v>
      </c>
      <c r="H19" s="951">
        <f t="shared" si="4"/>
        <v>0</v>
      </c>
      <c r="I19" s="952">
        <f t="shared" si="4"/>
        <v>0</v>
      </c>
      <c r="J19" s="953">
        <f t="shared" si="4"/>
        <v>0</v>
      </c>
      <c r="K19" s="953">
        <f t="shared" si="4"/>
        <v>0</v>
      </c>
      <c r="L19" s="953">
        <f t="shared" si="4"/>
        <v>0</v>
      </c>
      <c r="M19" s="953">
        <f t="shared" si="4"/>
        <v>0</v>
      </c>
      <c r="N19" s="952">
        <f t="shared" si="4"/>
        <v>1183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84</v>
      </c>
      <c r="AC19" s="957">
        <f t="shared" si="5"/>
        <v>0</v>
      </c>
      <c r="AD19" s="957">
        <f t="shared" si="5"/>
        <v>1943</v>
      </c>
      <c r="AE19" s="957">
        <f t="shared" si="5"/>
        <v>0</v>
      </c>
      <c r="AF19" s="958">
        <f t="shared" si="5"/>
        <v>59</v>
      </c>
      <c r="AG19" s="958">
        <f t="shared" si="5"/>
        <v>0</v>
      </c>
      <c r="AH19" s="958">
        <f t="shared" si="5"/>
        <v>3893</v>
      </c>
      <c r="AI19" s="958">
        <f t="shared" si="5"/>
        <v>0</v>
      </c>
      <c r="AJ19" s="959">
        <f t="shared" si="5"/>
        <v>0</v>
      </c>
      <c r="AK19" s="959">
        <f t="shared" si="5"/>
        <v>0</v>
      </c>
      <c r="AL19" s="951">
        <f t="shared" si="5"/>
        <v>975</v>
      </c>
      <c r="AM19" s="951">
        <f t="shared" si="5"/>
        <v>2199</v>
      </c>
      <c r="AN19" s="951">
        <f t="shared" si="5"/>
        <v>0</v>
      </c>
      <c r="AO19" s="951">
        <f t="shared" si="5"/>
        <v>0</v>
      </c>
      <c r="AP19" s="951">
        <f>IF(ISNUMBER(((Datos!L19/Datos!K19)*11)/factor_trimestre),((Datos!L19/Datos!K19)*11)/factor_trimestre," - ")</f>
        <v>5.0631470797439349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-1.68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-0.14570899362008644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48.497422611928563</v>
      </c>
      <c r="AC21" s="738">
        <f>IF(ISNUMBER(STDEV(AC8:AC18)),STDEV(AC8:AC18),"-")</f>
        <v>0</v>
      </c>
      <c r="AD21" s="741"/>
      <c r="AE21" s="741"/>
      <c r="AF21" s="741"/>
      <c r="AG21" s="741"/>
      <c r="AH21" s="741"/>
      <c r="AI21" s="741"/>
      <c r="AJ21" s="742">
        <f>IF(ISNUMBER(STDEV(AJ8:AJ18)),STDEV(AJ8:AJ18),"-")</f>
        <v>0</v>
      </c>
      <c r="AK21" s="744"/>
      <c r="AL21" s="736">
        <f>IF(ISNUMBER(STDEV(AL8:AL18)),STDEV(AL8:AL18),"-")</f>
        <v>543.64111936705694</v>
      </c>
      <c r="AM21" s="736"/>
      <c r="AN21" s="736">
        <f>IF(ISNUMBER(STDEV(AN8:AN18)),STDEV(AN8:AN18),"-")</f>
        <v>0</v>
      </c>
      <c r="AO21" s="742">
        <f>IF(ISNUMBER(STDEV(AO8:AO18)),STDEV(AO8:AO18),"-")</f>
        <v>0</v>
      </c>
      <c r="AP21" s="779">
        <f>IF(ISNUMBER(STDEV(AP8:AP18)),STDEV(AP8:AP18),"-")</f>
        <v>3.1600393639140152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At6AMR0i2CSUcXAoy1J2u3sgJZJZs/XyOQUc0aQpHnbllilq37geQP+93ZwOM2bwTUs4pSS753uYB2nFqj2/yg==" saltValue="NuKVnu7I9Mdr7o71S7CGn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